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skar\OneDrive\RAHANGDALE Sir\Gondia\Completed\Leelawati\1 St Reply\"/>
    </mc:Choice>
  </mc:AlternateContent>
  <bookViews>
    <workbookView xWindow="480" yWindow="420" windowWidth="19815" windowHeight="6900"/>
  </bookViews>
  <sheets>
    <sheet name="Capital Cost" sheetId="20" r:id="rId1"/>
    <sheet name="Key Assumptions" sheetId="18" r:id="rId2"/>
    <sheet name="Capital Cost break-up" sheetId="1" state="hidden" r:id="rId3"/>
    <sheet name="Project Glance" sheetId="2" r:id="rId4"/>
    <sheet name="Depn" sheetId="3" r:id="rId5"/>
    <sheet name="Output Schedule" sheetId="4" r:id="rId6"/>
    <sheet name="CS-RM" sheetId="5" r:id="rId7"/>
    <sheet name="Purchase Schedule" sheetId="6" r:id="rId8"/>
    <sheet name="CS-FG" sheetId="7" r:id="rId9"/>
    <sheet name="Sales Schedule" sheetId="8" r:id="rId10"/>
    <sheet name="Farm Implement Business" sheetId="22" state="hidden" r:id="rId11"/>
    <sheet name="Production Level Support" sheetId="21" state="hidden" r:id="rId12"/>
    <sheet name="Manpower Schedule" sheetId="9" r:id="rId13"/>
    <sheet name="weigh Bridge" sheetId="39" r:id="rId14"/>
    <sheet name="Warehouse" sheetId="40" r:id="rId15"/>
    <sheet name="Opex Schedule" sheetId="10" r:id="rId16"/>
    <sheet name="WC Req" sheetId="23" state="hidden" r:id="rId17"/>
    <sheet name="Ammortization" sheetId="37" r:id="rId18"/>
    <sheet name="WC Assessment" sheetId="11" r:id="rId19"/>
    <sheet name="P&amp;L" sheetId="12" r:id="rId20"/>
    <sheet name="Tax" sheetId="14" r:id="rId21"/>
    <sheet name="BS" sheetId="15" r:id="rId22"/>
    <sheet name="CF" sheetId="16" r:id="rId23"/>
    <sheet name="TL Schedule" sheetId="24" state="hidden" r:id="rId24"/>
    <sheet name="Interest" sheetId="13" state="hidden" r:id="rId25"/>
    <sheet name="ROCE and Payback" sheetId="34" r:id="rId26"/>
    <sheet name="NPV" sheetId="30" r:id="rId27"/>
    <sheet name="IRR" sheetId="29" r:id="rId28"/>
    <sheet name="Debt Equity" sheetId="33" state="hidden" r:id="rId29"/>
    <sheet name="Break Even" sheetId="32" state="hidden" r:id="rId30"/>
    <sheet name="DSCR" sheetId="31" state="hidden" r:id="rId31"/>
    <sheet name="BEP &amp; DSCR" sheetId="17" r:id="rId32"/>
    <sheet name="Sheet19" sheetId="19" state="hidden" r:id="rId33"/>
    <sheet name="Sheet6" sheetId="25" state="hidden" r:id="rId34"/>
    <sheet name="Benefit-FPO-Producer" sheetId="26" state="hidden" r:id="rId35"/>
    <sheet name="Sheet2" sheetId="27" state="hidden" r:id="rId36"/>
    <sheet name="Economic Analysis" sheetId="28" state="hidden" r:id="rId37"/>
    <sheet name="Sheet9" sheetId="35" state="hidden" r:id="rId38"/>
    <sheet name="sensitivity" sheetId="36" r:id="rId39"/>
    <sheet name="Member Data" sheetId="38" r:id="rId40"/>
  </sheets>
  <externalReferences>
    <externalReference r:id="rId41"/>
    <externalReference r:id="rId42"/>
    <externalReference r:id="rId43"/>
  </externalReferences>
  <definedNames>
    <definedName name="_xlnm.Print_Area" localSheetId="31">'BEP &amp; DSCR'!$A$2:$K$60</definedName>
    <definedName name="_xlnm.Print_Area" localSheetId="0">'Capital Cost'!$A$1:$C$46</definedName>
    <definedName name="_xlnm.Print_Area" localSheetId="27">IRR!$A$1:$K$28</definedName>
    <definedName name="_xlnm.Print_Area" localSheetId="15">'Opex Schedule'!$A$1:$L$52</definedName>
    <definedName name="_xlnm.Print_Area" localSheetId="5">'Output Schedule'!$A$1:$K$39</definedName>
    <definedName name="_xlnm.Print_Area" localSheetId="25">'ROCE and Payback'!$A$1:$K$19</definedName>
  </definedNames>
  <calcPr calcId="152511"/>
</workbook>
</file>

<file path=xl/calcChain.xml><?xml version="1.0" encoding="utf-8"?>
<calcChain xmlns="http://schemas.openxmlformats.org/spreadsheetml/2006/main">
  <c r="O17" i="34" l="1"/>
  <c r="M19" i="34"/>
  <c r="M17" i="34"/>
  <c r="C41" i="20"/>
  <c r="B10" i="2" l="1"/>
  <c r="B3" i="37"/>
  <c r="O46" i="10" l="1"/>
  <c r="A5" i="36" l="1"/>
  <c r="A19" i="36" s="1"/>
  <c r="A33" i="36" s="1"/>
  <c r="A47" i="36" s="1"/>
  <c r="D43" i="10" l="1"/>
  <c r="E43" i="10" s="1"/>
  <c r="F43" i="10" s="1"/>
  <c r="G43" i="10" s="1"/>
  <c r="H43" i="10" s="1"/>
  <c r="I43" i="10" s="1"/>
  <c r="J43" i="10" s="1"/>
  <c r="K43" i="10" s="1"/>
  <c r="L43" i="10" s="1"/>
  <c r="C42" i="10"/>
  <c r="D42" i="10" s="1"/>
  <c r="D33" i="10"/>
  <c r="E33" i="10" s="1"/>
  <c r="F33" i="10" s="1"/>
  <c r="G33" i="10" s="1"/>
  <c r="H33" i="10" s="1"/>
  <c r="I33" i="10" s="1"/>
  <c r="J33" i="10" s="1"/>
  <c r="K33" i="10" s="1"/>
  <c r="L33" i="10" s="1"/>
  <c r="C35" i="10"/>
  <c r="D35" i="10" s="1"/>
  <c r="E35" i="10" s="1"/>
  <c r="F35" i="10" s="1"/>
  <c r="G35" i="10" s="1"/>
  <c r="H35" i="10" s="1"/>
  <c r="I35" i="10" s="1"/>
  <c r="J35" i="10" s="1"/>
  <c r="K35" i="10" s="1"/>
  <c r="L35" i="10" s="1"/>
  <c r="C34" i="10"/>
  <c r="D34" i="10" s="1"/>
  <c r="E34" i="10" s="1"/>
  <c r="F34" i="10" s="1"/>
  <c r="G34" i="10" s="1"/>
  <c r="H34" i="10" s="1"/>
  <c r="I34" i="10" s="1"/>
  <c r="J34" i="10" s="1"/>
  <c r="K34" i="10" s="1"/>
  <c r="L34" i="10" s="1"/>
  <c r="C32" i="10"/>
  <c r="D32" i="10" s="1"/>
  <c r="E32" i="10" s="1"/>
  <c r="F32" i="10" s="1"/>
  <c r="G32" i="10" s="1"/>
  <c r="H32" i="10" s="1"/>
  <c r="I32" i="10" s="1"/>
  <c r="J32" i="10" s="1"/>
  <c r="K32" i="10" s="1"/>
  <c r="L32" i="10" s="1"/>
  <c r="C31" i="10"/>
  <c r="D31" i="10" s="1"/>
  <c r="E31" i="10" s="1"/>
  <c r="F31" i="10" s="1"/>
  <c r="G31" i="10" s="1"/>
  <c r="H31" i="10" s="1"/>
  <c r="I31" i="10" s="1"/>
  <c r="J31" i="10" s="1"/>
  <c r="K31" i="10" s="1"/>
  <c r="L31" i="10" s="1"/>
  <c r="C30" i="10"/>
  <c r="D30" i="10" s="1"/>
  <c r="E30" i="10" s="1"/>
  <c r="F30" i="10" s="1"/>
  <c r="G30" i="10" s="1"/>
  <c r="D14" i="40"/>
  <c r="E14" i="40" s="1"/>
  <c r="F14" i="40" s="1"/>
  <c r="G14" i="40" s="1"/>
  <c r="H14" i="40" s="1"/>
  <c r="I14" i="40" s="1"/>
  <c r="J14" i="40" s="1"/>
  <c r="K14" i="40" s="1"/>
  <c r="B6" i="40"/>
  <c r="G6" i="40" s="1"/>
  <c r="E42" i="10" l="1"/>
  <c r="F42" i="10" s="1"/>
  <c r="G42" i="10" s="1"/>
  <c r="H42" i="10" s="1"/>
  <c r="I42" i="10" s="1"/>
  <c r="J42" i="10" s="1"/>
  <c r="K42" i="10" s="1"/>
  <c r="L42" i="10" s="1"/>
  <c r="C36" i="10"/>
  <c r="H30" i="10"/>
  <c r="I30" i="10" s="1"/>
  <c r="J30" i="10" s="1"/>
  <c r="K30" i="10" s="1"/>
  <c r="L30" i="10" s="1"/>
  <c r="G36" i="10"/>
  <c r="D36" i="10"/>
  <c r="E36" i="10"/>
  <c r="F36" i="10"/>
  <c r="G7" i="40"/>
  <c r="G8" i="40" s="1"/>
  <c r="B8" i="40" l="1"/>
  <c r="C13" i="40" s="1"/>
  <c r="E8" i="40"/>
  <c r="J36" i="10"/>
  <c r="K36" i="10"/>
  <c r="I36" i="10"/>
  <c r="H36" i="10"/>
  <c r="B13" i="40"/>
  <c r="B15" i="40" s="1"/>
  <c r="B17" i="40" s="1"/>
  <c r="B7" i="12" s="1"/>
  <c r="B47" i="36" l="1"/>
  <c r="B5" i="36"/>
  <c r="B33" i="36"/>
  <c r="B19" i="36"/>
  <c r="L36" i="10"/>
  <c r="D13" i="40"/>
  <c r="C15" i="40"/>
  <c r="C17" i="40" s="1"/>
  <c r="C7" i="12" s="1"/>
  <c r="C47" i="36" l="1"/>
  <c r="C19" i="36"/>
  <c r="C33" i="36"/>
  <c r="C5" i="36"/>
  <c r="D15" i="40"/>
  <c r="D17" i="40" s="1"/>
  <c r="D7" i="12" s="1"/>
  <c r="E13" i="40"/>
  <c r="D19" i="36" l="1"/>
  <c r="D33" i="36"/>
  <c r="D5" i="36"/>
  <c r="D47" i="36"/>
  <c r="F13" i="40"/>
  <c r="E15" i="40"/>
  <c r="E17" i="40" s="1"/>
  <c r="E7" i="12" s="1"/>
  <c r="E33" i="36" l="1"/>
  <c r="E5" i="36"/>
  <c r="E47" i="36"/>
  <c r="E19" i="36"/>
  <c r="F15" i="40"/>
  <c r="F17" i="40" s="1"/>
  <c r="F7" i="12" s="1"/>
  <c r="G13" i="40"/>
  <c r="F33" i="36" l="1"/>
  <c r="F5" i="36"/>
  <c r="F47" i="36"/>
  <c r="F19" i="36"/>
  <c r="H13" i="40"/>
  <c r="G15" i="40"/>
  <c r="G17" i="40" s="1"/>
  <c r="G7" i="12" s="1"/>
  <c r="G47" i="36" l="1"/>
  <c r="G33" i="36"/>
  <c r="G5" i="36"/>
  <c r="G19" i="36"/>
  <c r="H15" i="40"/>
  <c r="H17" i="40" s="1"/>
  <c r="H7" i="12" s="1"/>
  <c r="I13" i="40"/>
  <c r="C32" i="4"/>
  <c r="D32" i="4" s="1"/>
  <c r="E32" i="4" s="1"/>
  <c r="F32" i="4" s="1"/>
  <c r="G32" i="4" s="1"/>
  <c r="H32" i="4" s="1"/>
  <c r="I32" i="4" s="1"/>
  <c r="J32" i="4" s="1"/>
  <c r="K32" i="4" s="1"/>
  <c r="B32" i="4"/>
  <c r="B5" i="4"/>
  <c r="C5" i="4" s="1"/>
  <c r="D5" i="4" s="1"/>
  <c r="E5" i="4" s="1"/>
  <c r="F5" i="4" s="1"/>
  <c r="G5" i="4" s="1"/>
  <c r="H5" i="4" s="1"/>
  <c r="I5" i="4" s="1"/>
  <c r="J5" i="4" s="1"/>
  <c r="K5" i="4" s="1"/>
  <c r="I15" i="40" l="1"/>
  <c r="I17" i="40" s="1"/>
  <c r="I7" i="12" s="1"/>
  <c r="J13" i="40"/>
  <c r="H19" i="36"/>
  <c r="H5" i="36"/>
  <c r="H33" i="36"/>
  <c r="H47" i="36"/>
  <c r="E42" i="20"/>
  <c r="K13" i="40" l="1"/>
  <c r="K15" i="40" s="1"/>
  <c r="K17" i="40" s="1"/>
  <c r="K7" i="12" s="1"/>
  <c r="J15" i="40"/>
  <c r="J17" i="40" s="1"/>
  <c r="J7" i="12" s="1"/>
  <c r="I33" i="36"/>
  <c r="I47" i="36"/>
  <c r="I19" i="36"/>
  <c r="I5" i="36"/>
  <c r="S27" i="38"/>
  <c r="N47" i="10"/>
  <c r="O14" i="4"/>
  <c r="O15" i="4" s="1"/>
  <c r="J33" i="36" l="1"/>
  <c r="J5" i="36"/>
  <c r="J47" i="36"/>
  <c r="J19" i="36"/>
  <c r="K47" i="36"/>
  <c r="K19" i="36"/>
  <c r="K33" i="36"/>
  <c r="K5" i="36"/>
  <c r="K7" i="4"/>
  <c r="J7" i="4"/>
  <c r="I7" i="4"/>
  <c r="H7" i="4"/>
  <c r="G7" i="4"/>
  <c r="F7" i="4"/>
  <c r="E7" i="4"/>
  <c r="D7" i="4"/>
  <c r="C7" i="4"/>
  <c r="K6" i="4"/>
  <c r="J6" i="4"/>
  <c r="I6" i="4"/>
  <c r="H6" i="4"/>
  <c r="G6" i="4"/>
  <c r="F6" i="4"/>
  <c r="E6" i="4"/>
  <c r="D6" i="4"/>
  <c r="C6" i="4"/>
  <c r="B7" i="4"/>
  <c r="B6" i="4"/>
  <c r="A6" i="36" l="1"/>
  <c r="A20" i="36" s="1"/>
  <c r="A4" i="36"/>
  <c r="A18" i="36" s="1"/>
  <c r="A3" i="36"/>
  <c r="A17" i="36" s="1"/>
  <c r="E7" i="2"/>
  <c r="E9" i="2"/>
  <c r="E10" i="2"/>
  <c r="E11" i="2"/>
  <c r="E12" i="2"/>
  <c r="E5" i="2"/>
  <c r="C11" i="10"/>
  <c r="D11" i="10" s="1"/>
  <c r="E11" i="10" s="1"/>
  <c r="F11" i="10" s="1"/>
  <c r="G11" i="10" s="1"/>
  <c r="H11" i="10" s="1"/>
  <c r="I11" i="10" s="1"/>
  <c r="J11" i="10" s="1"/>
  <c r="K11" i="10" s="1"/>
  <c r="L11" i="10" s="1"/>
  <c r="B11" i="38"/>
  <c r="N7" i="10"/>
  <c r="Q16" i="10" s="1"/>
  <c r="C9" i="4" l="1"/>
  <c r="D9" i="4" s="1"/>
  <c r="E9" i="4" s="1"/>
  <c r="F9" i="4" s="1"/>
  <c r="G9" i="4" s="1"/>
  <c r="H9" i="4" s="1"/>
  <c r="I9" i="4" s="1"/>
  <c r="J9" i="4" s="1"/>
  <c r="K9" i="4" s="1"/>
  <c r="C8" i="4"/>
  <c r="D8" i="4" s="1"/>
  <c r="E8" i="4" s="1"/>
  <c r="F8" i="4" s="1"/>
  <c r="G8" i="4" s="1"/>
  <c r="H8" i="4" s="1"/>
  <c r="I8" i="4" s="1"/>
  <c r="J8" i="4" s="1"/>
  <c r="K8" i="4" s="1"/>
  <c r="A34" i="36" l="1"/>
  <c r="A48" i="36" s="1"/>
  <c r="Q5" i="10" l="1"/>
  <c r="D11" i="39" l="1"/>
  <c r="E11" i="39" s="1"/>
  <c r="F11" i="39" s="1"/>
  <c r="G11" i="39" s="1"/>
  <c r="H11" i="39" s="1"/>
  <c r="I11" i="39" s="1"/>
  <c r="J11" i="39" s="1"/>
  <c r="K11" i="39" s="1"/>
  <c r="L11" i="39" s="1"/>
  <c r="D9" i="39"/>
  <c r="E9" i="39" s="1"/>
  <c r="D6" i="39"/>
  <c r="E6" i="39" s="1"/>
  <c r="F6" i="39" s="1"/>
  <c r="D4" i="39"/>
  <c r="E4" i="39" s="1"/>
  <c r="F4" i="39" s="1"/>
  <c r="G4" i="39" s="1"/>
  <c r="H4" i="39" s="1"/>
  <c r="I4" i="39" s="1"/>
  <c r="J4" i="39" s="1"/>
  <c r="K4" i="39" s="1"/>
  <c r="L4" i="39" s="1"/>
  <c r="F9" i="39" l="1"/>
  <c r="G6" i="39"/>
  <c r="G9" i="39" l="1"/>
  <c r="H6" i="39"/>
  <c r="H9" i="39" l="1"/>
  <c r="I6" i="39"/>
  <c r="I9" i="39" l="1"/>
  <c r="J6" i="39"/>
  <c r="J9" i="39" l="1"/>
  <c r="K6" i="39"/>
  <c r="K9" i="39" l="1"/>
  <c r="L6" i="39"/>
  <c r="L9" i="39" l="1"/>
  <c r="C42" i="20" l="1"/>
  <c r="B8" i="2"/>
  <c r="E8" i="2" s="1"/>
  <c r="C4" i="38" l="1"/>
  <c r="C5" i="38" s="1"/>
  <c r="C11" i="38" s="1"/>
  <c r="C10" i="38" s="1"/>
  <c r="C7" i="10"/>
  <c r="D4" i="38" l="1"/>
  <c r="E4" i="38" s="1"/>
  <c r="F4" i="38" s="1"/>
  <c r="G4" i="38" s="1"/>
  <c r="H4" i="38" s="1"/>
  <c r="I4" i="38" s="1"/>
  <c r="J4" i="38" s="1"/>
  <c r="K4" i="38" s="1"/>
  <c r="C13" i="38"/>
  <c r="C15" i="38" s="1"/>
  <c r="B13" i="38"/>
  <c r="B15" i="38" s="1"/>
  <c r="C15" i="10"/>
  <c r="C14" i="10"/>
  <c r="A21" i="36"/>
  <c r="A35" i="36" s="1"/>
  <c r="A49" i="36" s="1"/>
  <c r="C54" i="18"/>
  <c r="C51" i="7"/>
  <c r="C15" i="8"/>
  <c r="D32" i="7"/>
  <c r="D54" i="18" s="1"/>
  <c r="D31" i="7"/>
  <c r="E31" i="7" s="1"/>
  <c r="F31" i="7" s="1"/>
  <c r="G31" i="7" s="1"/>
  <c r="H31" i="7" s="1"/>
  <c r="I31" i="7" s="1"/>
  <c r="J31" i="7" s="1"/>
  <c r="K31" i="7" s="1"/>
  <c r="L31" i="7" s="1"/>
  <c r="D30" i="7"/>
  <c r="E30" i="7" s="1"/>
  <c r="F30" i="7" s="1"/>
  <c r="G30" i="7" s="1"/>
  <c r="H30" i="7" s="1"/>
  <c r="I30" i="7" s="1"/>
  <c r="J30" i="7" s="1"/>
  <c r="K30" i="7" s="1"/>
  <c r="L30" i="7" s="1"/>
  <c r="D29" i="7"/>
  <c r="E29" i="7" s="1"/>
  <c r="F29" i="7" s="1"/>
  <c r="G29" i="7" s="1"/>
  <c r="H29" i="7" s="1"/>
  <c r="I29" i="7" s="1"/>
  <c r="J29" i="7" s="1"/>
  <c r="K29" i="7" s="1"/>
  <c r="L29" i="7" s="1"/>
  <c r="C23" i="7"/>
  <c r="C21" i="18"/>
  <c r="C20" i="18"/>
  <c r="C18" i="18"/>
  <c r="B21" i="18"/>
  <c r="B20" i="18"/>
  <c r="B19" i="18"/>
  <c r="B18" i="18"/>
  <c r="N29" i="4"/>
  <c r="A30" i="4"/>
  <c r="B22" i="7" s="1"/>
  <c r="A29" i="4"/>
  <c r="B16" i="7" s="1"/>
  <c r="A28" i="4"/>
  <c r="B10" i="7" s="1"/>
  <c r="A27" i="4"/>
  <c r="D5" i="38" l="1"/>
  <c r="D15" i="8"/>
  <c r="E32" i="7"/>
  <c r="B32" i="7"/>
  <c r="B54" i="18" s="1"/>
  <c r="B46" i="7"/>
  <c r="B14" i="8"/>
  <c r="E5" i="38" l="1"/>
  <c r="D11" i="38"/>
  <c r="D10" i="38" s="1"/>
  <c r="D13" i="38" s="1"/>
  <c r="D15" i="38" s="1"/>
  <c r="F32" i="7"/>
  <c r="E54" i="18"/>
  <c r="E15" i="8"/>
  <c r="A32" i="36"/>
  <c r="A46" i="36" s="1"/>
  <c r="A31" i="36"/>
  <c r="A45" i="36" s="1"/>
  <c r="F5" i="38" l="1"/>
  <c r="E11" i="38"/>
  <c r="E10" i="38" s="1"/>
  <c r="G32" i="7"/>
  <c r="F15" i="8"/>
  <c r="F54" i="18"/>
  <c r="C11" i="5"/>
  <c r="D11" i="5" s="1"/>
  <c r="E11" i="5" s="1"/>
  <c r="F11" i="5" s="1"/>
  <c r="G11" i="5" s="1"/>
  <c r="H11" i="5" s="1"/>
  <c r="I11" i="5" s="1"/>
  <c r="J11" i="5" s="1"/>
  <c r="K11" i="5" s="1"/>
  <c r="E13" i="38" l="1"/>
  <c r="E15" i="38" s="1"/>
  <c r="G5" i="38"/>
  <c r="F11" i="38"/>
  <c r="F10" i="38" s="1"/>
  <c r="H32" i="7"/>
  <c r="G15" i="8"/>
  <c r="G54" i="18"/>
  <c r="F13" i="38" l="1"/>
  <c r="F15" i="38" s="1"/>
  <c r="H5" i="38"/>
  <c r="I5" i="38" s="1"/>
  <c r="J5" i="38" s="1"/>
  <c r="K5" i="38" s="1"/>
  <c r="G11" i="38"/>
  <c r="G10" i="38" s="1"/>
  <c r="I32" i="7"/>
  <c r="H54" i="18"/>
  <c r="H15" i="8"/>
  <c r="G13" i="38" l="1"/>
  <c r="G15" i="38" s="1"/>
  <c r="H11" i="38"/>
  <c r="H10" i="38" s="1"/>
  <c r="J32" i="7"/>
  <c r="I54" i="18"/>
  <c r="I15" i="8"/>
  <c r="N28" i="4"/>
  <c r="N30" i="4"/>
  <c r="N27" i="4"/>
  <c r="H13" i="38" l="1"/>
  <c r="H15" i="38" s="1"/>
  <c r="I11" i="38"/>
  <c r="I10" i="38" s="1"/>
  <c r="K32" i="7"/>
  <c r="J15" i="8"/>
  <c r="J54" i="18"/>
  <c r="N32" i="4"/>
  <c r="I56" i="17"/>
  <c r="J56" i="17"/>
  <c r="K56" i="17"/>
  <c r="K24" i="16"/>
  <c r="L24" i="16"/>
  <c r="M24" i="16"/>
  <c r="L25" i="16"/>
  <c r="M26" i="16"/>
  <c r="J20" i="15"/>
  <c r="K20" i="15"/>
  <c r="L20" i="15"/>
  <c r="M25" i="16" s="1"/>
  <c r="I30" i="12"/>
  <c r="K26" i="16" s="1"/>
  <c r="J30" i="12"/>
  <c r="J37" i="17" s="1"/>
  <c r="K30" i="12"/>
  <c r="K52" i="17" s="1"/>
  <c r="B27" i="12"/>
  <c r="C5" i="37" s="1"/>
  <c r="H10" i="31"/>
  <c r="B13" i="30"/>
  <c r="C13" i="30" s="1"/>
  <c r="D13" i="30" s="1"/>
  <c r="E13" i="30" s="1"/>
  <c r="F13" i="30" s="1"/>
  <c r="G13" i="30" s="1"/>
  <c r="H13" i="30" s="1"/>
  <c r="I13" i="30" s="1"/>
  <c r="J13" i="30" s="1"/>
  <c r="K13" i="30" s="1"/>
  <c r="B28" i="29"/>
  <c r="B22" i="29"/>
  <c r="C22" i="29" s="1"/>
  <c r="D22" i="29" s="1"/>
  <c r="E22" i="29" s="1"/>
  <c r="F22" i="29" s="1"/>
  <c r="G22" i="29" s="1"/>
  <c r="H22" i="29" s="1"/>
  <c r="I22" i="29" s="1"/>
  <c r="J22" i="29" s="1"/>
  <c r="B19" i="29"/>
  <c r="B12" i="29"/>
  <c r="C12" i="29" s="1"/>
  <c r="D12" i="29" s="1"/>
  <c r="E12" i="29" s="1"/>
  <c r="F12" i="29" s="1"/>
  <c r="G12" i="29" s="1"/>
  <c r="H12" i="29" s="1"/>
  <c r="I12" i="29" s="1"/>
  <c r="J12" i="29" s="1"/>
  <c r="C27" i="12" l="1"/>
  <c r="I37" i="17"/>
  <c r="J52" i="17"/>
  <c r="L26" i="16"/>
  <c r="I52" i="17"/>
  <c r="K37" i="17"/>
  <c r="I13" i="38"/>
  <c r="I15" i="38" s="1"/>
  <c r="K11" i="38"/>
  <c r="J11" i="38"/>
  <c r="J10" i="38" s="1"/>
  <c r="L32" i="7"/>
  <c r="K15" i="8"/>
  <c r="K54" i="18"/>
  <c r="K22" i="29"/>
  <c r="K12" i="29"/>
  <c r="D5" i="37" l="1"/>
  <c r="D27" i="12"/>
  <c r="K10" i="38"/>
  <c r="K13" i="38" s="1"/>
  <c r="K15" i="38" s="1"/>
  <c r="J13" i="38"/>
  <c r="J15" i="38" s="1"/>
  <c r="L54" i="18"/>
  <c r="L15" i="8"/>
  <c r="E27" i="12" l="1"/>
  <c r="E5" i="37"/>
  <c r="B12" i="5"/>
  <c r="B4" i="6" s="1"/>
  <c r="F27" i="12" l="1"/>
  <c r="F5" i="37"/>
  <c r="B17" i="28"/>
  <c r="C17" i="28" s="1"/>
  <c r="D17" i="28" s="1"/>
  <c r="E17" i="28" s="1"/>
  <c r="F17" i="28" s="1"/>
  <c r="G17" i="28" s="1"/>
  <c r="H17" i="28" s="1"/>
  <c r="B5" i="28"/>
  <c r="G27" i="12" l="1"/>
  <c r="G5" i="37"/>
  <c r="B4" i="7"/>
  <c r="B29" i="7" s="1"/>
  <c r="C46" i="18"/>
  <c r="C45" i="18"/>
  <c r="H27" i="12" l="1"/>
  <c r="H5" i="37"/>
  <c r="C12" i="5"/>
  <c r="I27" i="12" l="1"/>
  <c r="I5" i="37"/>
  <c r="D12" i="5"/>
  <c r="D15" i="18"/>
  <c r="C15" i="18"/>
  <c r="C14" i="18"/>
  <c r="D13" i="18"/>
  <c r="C13" i="18"/>
  <c r="H56" i="17"/>
  <c r="C18" i="16"/>
  <c r="C17" i="16"/>
  <c r="C16" i="16"/>
  <c r="B33" i="15"/>
  <c r="B32" i="15"/>
  <c r="B19" i="15"/>
  <c r="H30" i="12"/>
  <c r="G15" i="9"/>
  <c r="G14" i="9"/>
  <c r="B13" i="17"/>
  <c r="C13" i="17" s="1"/>
  <c r="D13" i="17" s="1"/>
  <c r="E13" i="17" s="1"/>
  <c r="F13" i="17" s="1"/>
  <c r="G13" i="17" s="1"/>
  <c r="H13" i="17" s="1"/>
  <c r="C33" i="15"/>
  <c r="J27" i="12" l="1"/>
  <c r="J5" i="37"/>
  <c r="I8" i="14"/>
  <c r="I53" i="17"/>
  <c r="I8" i="29"/>
  <c r="I40" i="17"/>
  <c r="I9" i="30"/>
  <c r="B6" i="31"/>
  <c r="B9" i="30"/>
  <c r="B8" i="29"/>
  <c r="J26" i="16"/>
  <c r="H7" i="31"/>
  <c r="H9" i="31" s="1"/>
  <c r="C32" i="15"/>
  <c r="E12" i="5"/>
  <c r="B7" i="17"/>
  <c r="B40" i="17"/>
  <c r="B53" i="17"/>
  <c r="K27" i="12" l="1"/>
  <c r="K5" i="37"/>
  <c r="J8" i="14"/>
  <c r="J53" i="17"/>
  <c r="J8" i="29"/>
  <c r="J40" i="17"/>
  <c r="J9" i="30"/>
  <c r="F12" i="5"/>
  <c r="L5" i="37" l="1"/>
  <c r="K40" i="17"/>
  <c r="K9" i="30"/>
  <c r="K8" i="14"/>
  <c r="K53" i="17"/>
  <c r="K8" i="29"/>
  <c r="G12" i="5"/>
  <c r="H6" i="22"/>
  <c r="G6" i="22"/>
  <c r="H5" i="22"/>
  <c r="G5" i="22"/>
  <c r="G9" i="22"/>
  <c r="G8" i="22"/>
  <c r="G7" i="22"/>
  <c r="H8" i="22"/>
  <c r="H9" i="22" l="1"/>
  <c r="H7" i="22"/>
  <c r="I4" i="22"/>
  <c r="H12" i="5" l="1"/>
  <c r="E15" i="18"/>
  <c r="I5" i="22"/>
  <c r="I6" i="22"/>
  <c r="I9" i="22"/>
  <c r="I8" i="22"/>
  <c r="J4" i="22"/>
  <c r="I7" i="22"/>
  <c r="I12" i="5" l="1"/>
  <c r="F15" i="18"/>
  <c r="J5" i="22"/>
  <c r="J6" i="22"/>
  <c r="J9" i="22"/>
  <c r="J8" i="22"/>
  <c r="K4" i="22"/>
  <c r="J7" i="22"/>
  <c r="I4" i="6" l="1"/>
  <c r="K12" i="5"/>
  <c r="J12" i="5"/>
  <c r="G15" i="18"/>
  <c r="K5" i="22"/>
  <c r="K6" i="22"/>
  <c r="K7" i="22"/>
  <c r="K9" i="22"/>
  <c r="K8" i="22"/>
  <c r="L4" i="22"/>
  <c r="J4" i="6" l="1"/>
  <c r="K4" i="6"/>
  <c r="J34" i="18"/>
  <c r="H15" i="18"/>
  <c r="L6" i="22"/>
  <c r="L5" i="22"/>
  <c r="L8" i="22"/>
  <c r="M4" i="22"/>
  <c r="L7" i="22"/>
  <c r="L9" i="22"/>
  <c r="L34" i="18" l="1"/>
  <c r="K34" i="18"/>
  <c r="I15" i="18"/>
  <c r="M5" i="22"/>
  <c r="M6" i="22"/>
  <c r="M9" i="22"/>
  <c r="M8" i="22"/>
  <c r="M7" i="22"/>
  <c r="C3" i="21" l="1"/>
  <c r="C37" i="18"/>
  <c r="B12" i="6"/>
  <c r="C26" i="10"/>
  <c r="B10" i="23"/>
  <c r="D37" i="18" l="1"/>
  <c r="C12" i="6"/>
  <c r="D26" i="10"/>
  <c r="C10" i="23"/>
  <c r="D3" i="21"/>
  <c r="C52" i="18"/>
  <c r="C53" i="18"/>
  <c r="C51" i="18"/>
  <c r="B51" i="18"/>
  <c r="C43" i="18"/>
  <c r="B25" i="18"/>
  <c r="B27" i="18"/>
  <c r="B24" i="18"/>
  <c r="I19" i="13"/>
  <c r="B6" i="24" s="1"/>
  <c r="B18" i="12"/>
  <c r="D16" i="10"/>
  <c r="E16" i="10" s="1"/>
  <c r="F16" i="10" s="1"/>
  <c r="G16" i="10" s="1"/>
  <c r="H16" i="10" s="1"/>
  <c r="I16" i="10" s="1"/>
  <c r="J16" i="10" s="1"/>
  <c r="K16" i="10" s="1"/>
  <c r="L16" i="10" s="1"/>
  <c r="D9" i="10"/>
  <c r="E9" i="10" s="1"/>
  <c r="F9" i="10" s="1"/>
  <c r="G9" i="10" s="1"/>
  <c r="H9" i="10" s="1"/>
  <c r="I9" i="10" s="1"/>
  <c r="J9" i="10" s="1"/>
  <c r="K9" i="10" s="1"/>
  <c r="L9" i="10" s="1"/>
  <c r="D15" i="10"/>
  <c r="E15" i="10" s="1"/>
  <c r="F15" i="10" s="1"/>
  <c r="G15" i="10" s="1"/>
  <c r="H15" i="10" s="1"/>
  <c r="I15" i="10" s="1"/>
  <c r="J15" i="10" s="1"/>
  <c r="K15" i="10" s="1"/>
  <c r="L15" i="10" s="1"/>
  <c r="D14" i="10"/>
  <c r="E14" i="10" s="1"/>
  <c r="F14" i="10" s="1"/>
  <c r="G14" i="10" s="1"/>
  <c r="H14" i="10" s="1"/>
  <c r="I14" i="10" s="1"/>
  <c r="J14" i="10" s="1"/>
  <c r="K14" i="10" s="1"/>
  <c r="L14" i="10" s="1"/>
  <c r="C12" i="10"/>
  <c r="D12" i="10" s="1"/>
  <c r="E12" i="10" s="1"/>
  <c r="F12" i="10" s="1"/>
  <c r="G12" i="10" s="1"/>
  <c r="H12" i="10" s="1"/>
  <c r="I12" i="10" s="1"/>
  <c r="J12" i="10" s="1"/>
  <c r="K12" i="10" s="1"/>
  <c r="L12" i="10" s="1"/>
  <c r="D7" i="10"/>
  <c r="E7" i="10" s="1"/>
  <c r="F7" i="10" s="1"/>
  <c r="G7" i="10" s="1"/>
  <c r="H7" i="10" s="1"/>
  <c r="I7" i="10" s="1"/>
  <c r="J7" i="10" s="1"/>
  <c r="K7" i="10" s="1"/>
  <c r="L7" i="10" s="1"/>
  <c r="C6" i="10"/>
  <c r="D6" i="10" s="1"/>
  <c r="C25" i="10"/>
  <c r="Q3" i="10"/>
  <c r="C10" i="10" s="1"/>
  <c r="D10" i="10" s="1"/>
  <c r="E10" i="10" s="1"/>
  <c r="F10" i="10" s="1"/>
  <c r="G10" i="10" s="1"/>
  <c r="H10" i="10" s="1"/>
  <c r="I10" i="10" s="1"/>
  <c r="J10" i="10" s="1"/>
  <c r="K10" i="10" s="1"/>
  <c r="L10" i="10" s="1"/>
  <c r="D25" i="10" l="1"/>
  <c r="E25" i="10" s="1"/>
  <c r="F25" i="10" s="1"/>
  <c r="G25" i="10" s="1"/>
  <c r="H25" i="10" s="1"/>
  <c r="I25" i="10" s="1"/>
  <c r="J25" i="10" s="1"/>
  <c r="K25" i="10" s="1"/>
  <c r="L25" i="10" s="1"/>
  <c r="B6" i="2"/>
  <c r="E6" i="2" s="1"/>
  <c r="E37" i="18"/>
  <c r="E26" i="10"/>
  <c r="D12" i="6"/>
  <c r="D10" i="23"/>
  <c r="E3" i="21"/>
  <c r="E6" i="10"/>
  <c r="N13" i="10" l="1"/>
  <c r="O16" i="10"/>
  <c r="C15" i="16"/>
  <c r="C32" i="16" s="1"/>
  <c r="F37" i="18"/>
  <c r="E12" i="6"/>
  <c r="F26" i="10"/>
  <c r="E10" i="23"/>
  <c r="F3" i="21"/>
  <c r="C5" i="3"/>
  <c r="F6" i="10"/>
  <c r="C23" i="10" l="1"/>
  <c r="G3" i="21"/>
  <c r="G37" i="18"/>
  <c r="G26" i="10"/>
  <c r="F12" i="6"/>
  <c r="F10" i="23"/>
  <c r="B28" i="15"/>
  <c r="B30" i="15" s="1"/>
  <c r="C10" i="3"/>
  <c r="G6" i="10"/>
  <c r="H3" i="21" l="1"/>
  <c r="H37" i="18"/>
  <c r="H26" i="10"/>
  <c r="G12" i="6"/>
  <c r="G10" i="23"/>
  <c r="H6" i="10"/>
  <c r="I37" i="18" l="1"/>
  <c r="H12" i="6"/>
  <c r="I26" i="10"/>
  <c r="H10" i="23"/>
  <c r="I6" i="10"/>
  <c r="J6" i="10" s="1"/>
  <c r="K6" i="10" s="1"/>
  <c r="L6" i="10" s="1"/>
  <c r="E18" i="9" l="1"/>
  <c r="G17" i="9"/>
  <c r="G16" i="9"/>
  <c r="G13" i="9"/>
  <c r="G12" i="9"/>
  <c r="G11" i="9"/>
  <c r="G9" i="9"/>
  <c r="G8" i="9"/>
  <c r="G7" i="9"/>
  <c r="G6" i="9"/>
  <c r="G5" i="9"/>
  <c r="G4" i="9"/>
  <c r="G3" i="9"/>
  <c r="C11" i="8"/>
  <c r="B10" i="8"/>
  <c r="C7" i="8"/>
  <c r="C3" i="8"/>
  <c r="B11" i="12"/>
  <c r="B42" i="7"/>
  <c r="B31" i="7"/>
  <c r="B53" i="18" s="1"/>
  <c r="C17" i="7"/>
  <c r="C11" i="7"/>
  <c r="B38" i="7"/>
  <c r="C5" i="7"/>
  <c r="B34" i="7"/>
  <c r="C34" i="18"/>
  <c r="C24" i="10" l="1"/>
  <c r="G18" i="9"/>
  <c r="C13" i="10"/>
  <c r="D51" i="18"/>
  <c r="D53" i="18"/>
  <c r="B6" i="8"/>
  <c r="B2" i="8"/>
  <c r="D52" i="18"/>
  <c r="D7" i="8"/>
  <c r="D11" i="8"/>
  <c r="D3" i="8"/>
  <c r="B30" i="7"/>
  <c r="B52" i="18" s="1"/>
  <c r="D13" i="10" l="1"/>
  <c r="C17" i="10"/>
  <c r="C18" i="10" s="1"/>
  <c r="D24" i="10"/>
  <c r="E51" i="18"/>
  <c r="E3" i="8"/>
  <c r="E53" i="18"/>
  <c r="E11" i="8"/>
  <c r="E52" i="18"/>
  <c r="E7" i="8"/>
  <c r="E24" i="10" l="1"/>
  <c r="E13" i="10"/>
  <c r="D17" i="10"/>
  <c r="D18" i="10" s="1"/>
  <c r="F51" i="18"/>
  <c r="F3" i="8"/>
  <c r="F11" i="8"/>
  <c r="F53" i="18"/>
  <c r="G52" i="18"/>
  <c r="G7" i="8"/>
  <c r="F52" i="18"/>
  <c r="F7" i="8"/>
  <c r="F24" i="10" l="1"/>
  <c r="E17" i="10"/>
  <c r="E18" i="10" s="1"/>
  <c r="F13" i="10"/>
  <c r="G51" i="18"/>
  <c r="G3" i="8"/>
  <c r="G11" i="8"/>
  <c r="G53" i="18"/>
  <c r="H52" i="18"/>
  <c r="H7" i="8"/>
  <c r="J7" i="8" l="1"/>
  <c r="J52" i="18"/>
  <c r="G24" i="10"/>
  <c r="F17" i="10"/>
  <c r="F18" i="10" s="1"/>
  <c r="G13" i="10"/>
  <c r="H51" i="18"/>
  <c r="H3" i="8"/>
  <c r="H11" i="8"/>
  <c r="H53" i="18"/>
  <c r="I52" i="18"/>
  <c r="I7" i="8"/>
  <c r="D8" i="1"/>
  <c r="C4" i="6"/>
  <c r="D34" i="18" s="1"/>
  <c r="J53" i="18" l="1"/>
  <c r="J11" i="8"/>
  <c r="K7" i="8"/>
  <c r="K52" i="18"/>
  <c r="J51" i="18"/>
  <c r="J3" i="8"/>
  <c r="H24" i="10"/>
  <c r="H13" i="10"/>
  <c r="G17" i="10"/>
  <c r="G18" i="10" s="1"/>
  <c r="D14" i="18"/>
  <c r="I3" i="8"/>
  <c r="I51" i="18"/>
  <c r="I11" i="8"/>
  <c r="I53" i="18"/>
  <c r="E13" i="18"/>
  <c r="D4" i="6"/>
  <c r="E34" i="18" s="1"/>
  <c r="K53" i="18" l="1"/>
  <c r="K11" i="8"/>
  <c r="L52" i="18"/>
  <c r="L7" i="8"/>
  <c r="K3" i="8"/>
  <c r="K51" i="18"/>
  <c r="I24" i="10"/>
  <c r="H17" i="10"/>
  <c r="H18" i="10" s="1"/>
  <c r="I13" i="10"/>
  <c r="J13" i="10" s="1"/>
  <c r="F13" i="18"/>
  <c r="E4" i="6"/>
  <c r="F34" i="18" s="1"/>
  <c r="L53" i="18" l="1"/>
  <c r="L11" i="8"/>
  <c r="L3" i="8"/>
  <c r="L51" i="18"/>
  <c r="K13" i="10"/>
  <c r="J17" i="10"/>
  <c r="J18" i="10" s="1"/>
  <c r="J24" i="10"/>
  <c r="I17" i="10"/>
  <c r="I18" i="10" s="1"/>
  <c r="E14" i="18"/>
  <c r="G13" i="18"/>
  <c r="F4" i="6"/>
  <c r="G34" i="18" s="1"/>
  <c r="K24" i="10" l="1"/>
  <c r="K17" i="10"/>
  <c r="K18" i="10" s="1"/>
  <c r="L13" i="10"/>
  <c r="F14" i="18"/>
  <c r="C11" i="23"/>
  <c r="H13" i="18"/>
  <c r="G4" i="6"/>
  <c r="H34" i="18" s="1"/>
  <c r="L17" i="10" l="1"/>
  <c r="L18" i="10" s="1"/>
  <c r="L24" i="10"/>
  <c r="G14" i="18"/>
  <c r="H4" i="6"/>
  <c r="I34" i="18" s="1"/>
  <c r="J13" i="18" l="1"/>
  <c r="I12" i="4"/>
  <c r="H14" i="18"/>
  <c r="I13" i="18"/>
  <c r="J14" i="18" l="1"/>
  <c r="I17" i="4"/>
  <c r="I17" i="38" s="1"/>
  <c r="I34" i="4"/>
  <c r="K13" i="18"/>
  <c r="J12" i="4"/>
  <c r="I14" i="18"/>
  <c r="C13" i="4"/>
  <c r="D43" i="18" s="1"/>
  <c r="J44" i="10" l="1"/>
  <c r="I23" i="4"/>
  <c r="I22" i="4"/>
  <c r="I21" i="4"/>
  <c r="I20" i="4"/>
  <c r="I29" i="4"/>
  <c r="J18" i="7" s="1"/>
  <c r="J47" i="10"/>
  <c r="J24" i="18"/>
  <c r="I27" i="4"/>
  <c r="J6" i="7" s="1"/>
  <c r="I35" i="4"/>
  <c r="J25" i="18" s="1"/>
  <c r="I30" i="4"/>
  <c r="I7" i="5"/>
  <c r="I28" i="4"/>
  <c r="J12" i="7" s="1"/>
  <c r="J34" i="4"/>
  <c r="E17" i="4"/>
  <c r="D17" i="4"/>
  <c r="L13" i="18"/>
  <c r="K12" i="4"/>
  <c r="K14" i="18"/>
  <c r="J17" i="4"/>
  <c r="J17" i="38" s="1"/>
  <c r="D11" i="23"/>
  <c r="F24" i="16"/>
  <c r="D13" i="4"/>
  <c r="E43" i="18" s="1"/>
  <c r="F12" i="4"/>
  <c r="F17" i="38" s="1"/>
  <c r="F17" i="4"/>
  <c r="C12" i="4"/>
  <c r="C17" i="4"/>
  <c r="D12" i="4"/>
  <c r="D17" i="38" s="1"/>
  <c r="G12" i="4"/>
  <c r="G17" i="4"/>
  <c r="H12" i="4"/>
  <c r="H17" i="38" s="1"/>
  <c r="H17" i="4"/>
  <c r="B12" i="4"/>
  <c r="B17" i="4"/>
  <c r="E12" i="4"/>
  <c r="E17" i="38" s="1"/>
  <c r="C17" i="38" l="1"/>
  <c r="B17" i="38"/>
  <c r="G17" i="38"/>
  <c r="K17" i="38"/>
  <c r="E44" i="10"/>
  <c r="D44" i="10"/>
  <c r="F44" i="10"/>
  <c r="G44" i="10"/>
  <c r="C44" i="10"/>
  <c r="Q46" i="10" s="1"/>
  <c r="H44" i="10"/>
  <c r="I44" i="10"/>
  <c r="K44" i="10"/>
  <c r="G21" i="4"/>
  <c r="G20" i="4"/>
  <c r="G23" i="4"/>
  <c r="G22" i="4"/>
  <c r="E23" i="4"/>
  <c r="E22" i="4"/>
  <c r="E21" i="4"/>
  <c r="E20" i="4"/>
  <c r="F22" i="4"/>
  <c r="F21" i="4"/>
  <c r="F20" i="4"/>
  <c r="F23" i="4"/>
  <c r="H20" i="4"/>
  <c r="H23" i="4"/>
  <c r="H22" i="4"/>
  <c r="H21" i="4"/>
  <c r="J22" i="4"/>
  <c r="J21" i="4"/>
  <c r="J20" i="4"/>
  <c r="J23" i="4"/>
  <c r="C21" i="4"/>
  <c r="C20" i="4"/>
  <c r="C23" i="4"/>
  <c r="C22" i="4"/>
  <c r="D20" i="4"/>
  <c r="D23" i="4"/>
  <c r="D22" i="4"/>
  <c r="D21" i="4"/>
  <c r="B23" i="4"/>
  <c r="C47" i="10"/>
  <c r="B22" i="4"/>
  <c r="B21" i="4"/>
  <c r="B20" i="4"/>
  <c r="G29" i="4"/>
  <c r="H18" i="7" s="1"/>
  <c r="H47" i="10"/>
  <c r="E29" i="4"/>
  <c r="F18" i="7" s="1"/>
  <c r="F47" i="10"/>
  <c r="F29" i="4"/>
  <c r="G18" i="7" s="1"/>
  <c r="G47" i="10"/>
  <c r="H29" i="4"/>
  <c r="I18" i="7" s="1"/>
  <c r="I47" i="10"/>
  <c r="J29" i="4"/>
  <c r="K18" i="7" s="1"/>
  <c r="K47" i="10"/>
  <c r="C29" i="4"/>
  <c r="D18" i="7" s="1"/>
  <c r="D47" i="10"/>
  <c r="D29" i="4"/>
  <c r="E18" i="7" s="1"/>
  <c r="E47" i="10"/>
  <c r="B29" i="4"/>
  <c r="C18" i="7" s="1"/>
  <c r="C20" i="7" s="1"/>
  <c r="G4" i="28"/>
  <c r="G6" i="28" s="1"/>
  <c r="G7" i="28" s="1"/>
  <c r="G8" i="28" s="1"/>
  <c r="H4" i="28"/>
  <c r="H6" i="28" s="1"/>
  <c r="H7" i="28" s="1"/>
  <c r="H8" i="28" s="1"/>
  <c r="J24" i="7"/>
  <c r="J26" i="7" s="1"/>
  <c r="I37" i="4"/>
  <c r="J50" i="10" s="1"/>
  <c r="F4" i="28"/>
  <c r="F6" i="28" s="1"/>
  <c r="F7" i="28" s="1"/>
  <c r="F8" i="28" s="1"/>
  <c r="C4" i="28"/>
  <c r="C6" i="28" s="1"/>
  <c r="C7" i="28" s="1"/>
  <c r="C8" i="28" s="1"/>
  <c r="D4" i="28"/>
  <c r="D6" i="28" s="1"/>
  <c r="D7" i="28" s="1"/>
  <c r="D8" i="28" s="1"/>
  <c r="K24" i="18"/>
  <c r="I8" i="5"/>
  <c r="L14" i="18"/>
  <c r="K17" i="4"/>
  <c r="K34" i="4"/>
  <c r="J27" i="4"/>
  <c r="K6" i="7" s="1"/>
  <c r="J28" i="4"/>
  <c r="K12" i="7" s="1"/>
  <c r="J30" i="4"/>
  <c r="J35" i="4"/>
  <c r="K25" i="18" s="1"/>
  <c r="J7" i="5"/>
  <c r="B4" i="28"/>
  <c r="B6" i="28" s="1"/>
  <c r="B7" i="28" s="1"/>
  <c r="B8" i="28" s="1"/>
  <c r="C14" i="4"/>
  <c r="C6" i="12" s="1"/>
  <c r="E35" i="4"/>
  <c r="F25" i="18" s="1"/>
  <c r="E27" i="4"/>
  <c r="F6" i="7" s="1"/>
  <c r="E7" i="5"/>
  <c r="E8" i="5" s="1"/>
  <c r="E30" i="4"/>
  <c r="E28" i="4"/>
  <c r="F12" i="7" s="1"/>
  <c r="H35" i="4"/>
  <c r="I25" i="18" s="1"/>
  <c r="H27" i="4"/>
  <c r="I6" i="7" s="1"/>
  <c r="H7" i="5"/>
  <c r="H30" i="4"/>
  <c r="H28" i="4"/>
  <c r="I12" i="7" s="1"/>
  <c r="D28" i="4"/>
  <c r="E12" i="7" s="1"/>
  <c r="D30" i="4"/>
  <c r="D35" i="4"/>
  <c r="E25" i="18" s="1"/>
  <c r="D7" i="5"/>
  <c r="D8" i="5" s="1"/>
  <c r="D27" i="4"/>
  <c r="E6" i="7" s="1"/>
  <c r="F7" i="5"/>
  <c r="F8" i="5" s="1"/>
  <c r="F27" i="4"/>
  <c r="G6" i="7" s="1"/>
  <c r="F30" i="4"/>
  <c r="F35" i="4"/>
  <c r="G25" i="18" s="1"/>
  <c r="F28" i="4"/>
  <c r="G12" i="7" s="1"/>
  <c r="E4" i="28"/>
  <c r="E6" i="28" s="1"/>
  <c r="E7" i="28" s="1"/>
  <c r="E8" i="28" s="1"/>
  <c r="E24" i="4"/>
  <c r="B27" i="4"/>
  <c r="C6" i="7" s="1"/>
  <c r="C8" i="7" s="1"/>
  <c r="B35" i="4"/>
  <c r="C25" i="18" s="1"/>
  <c r="B7" i="5"/>
  <c r="B28" i="4"/>
  <c r="C12" i="7" s="1"/>
  <c r="C14" i="7" s="1"/>
  <c r="B30" i="4"/>
  <c r="C24" i="7" s="1"/>
  <c r="G27" i="4"/>
  <c r="H6" i="7" s="1"/>
  <c r="G35" i="4"/>
  <c r="H25" i="18" s="1"/>
  <c r="G7" i="5"/>
  <c r="G8" i="5" s="1"/>
  <c r="G28" i="4"/>
  <c r="H12" i="7" s="1"/>
  <c r="G30" i="4"/>
  <c r="C30" i="4"/>
  <c r="C27" i="4"/>
  <c r="D6" i="7" s="1"/>
  <c r="C35" i="4"/>
  <c r="D25" i="18" s="1"/>
  <c r="C7" i="5"/>
  <c r="C8" i="5" s="1"/>
  <c r="C28" i="4"/>
  <c r="D12" i="7" s="1"/>
  <c r="F11" i="23"/>
  <c r="H24" i="16"/>
  <c r="E11" i="23"/>
  <c r="G24" i="16"/>
  <c r="D34" i="4"/>
  <c r="C24" i="4"/>
  <c r="E13" i="4"/>
  <c r="F43" i="18" s="1"/>
  <c r="C34" i="4"/>
  <c r="E34" i="4"/>
  <c r="D14" i="4"/>
  <c r="D6" i="12" s="1"/>
  <c r="B34" i="4"/>
  <c r="B14" i="4"/>
  <c r="B6" i="12" s="1"/>
  <c r="D24" i="4"/>
  <c r="F34" i="4"/>
  <c r="F24" i="4"/>
  <c r="L44" i="10" l="1"/>
  <c r="J48" i="10"/>
  <c r="J40" i="10"/>
  <c r="J27" i="18"/>
  <c r="J5" i="39"/>
  <c r="K21" i="4"/>
  <c r="K20" i="4"/>
  <c r="K23" i="4"/>
  <c r="K22" i="4"/>
  <c r="K29" i="4"/>
  <c r="L18" i="7" s="1"/>
  <c r="L47" i="10"/>
  <c r="D4" i="36"/>
  <c r="D46" i="36"/>
  <c r="D32" i="36"/>
  <c r="D18" i="36"/>
  <c r="C4" i="36"/>
  <c r="C18" i="36"/>
  <c r="C46" i="36"/>
  <c r="C32" i="36"/>
  <c r="J41" i="10"/>
  <c r="B32" i="36"/>
  <c r="B18" i="36"/>
  <c r="B46" i="36"/>
  <c r="B4" i="36"/>
  <c r="D24" i="7"/>
  <c r="D26" i="7" s="1"/>
  <c r="F24" i="7"/>
  <c r="F26" i="7" s="1"/>
  <c r="H24" i="7"/>
  <c r="H26" i="7" s="1"/>
  <c r="E24" i="7"/>
  <c r="E26" i="7" s="1"/>
  <c r="I24" i="7"/>
  <c r="I26" i="7" s="1"/>
  <c r="K24" i="7"/>
  <c r="K26" i="7" s="1"/>
  <c r="K23" i="7"/>
  <c r="J48" i="7"/>
  <c r="K47" i="7" s="1"/>
  <c r="G24" i="7"/>
  <c r="G26" i="7" s="1"/>
  <c r="C26" i="7"/>
  <c r="C25" i="7" s="1"/>
  <c r="C14" i="8" s="1"/>
  <c r="C16" i="8" s="1"/>
  <c r="L24" i="18"/>
  <c r="K35" i="4"/>
  <c r="L25" i="18" s="1"/>
  <c r="K7" i="5"/>
  <c r="K27" i="4"/>
  <c r="L6" i="7" s="1"/>
  <c r="K28" i="4"/>
  <c r="L12" i="7" s="1"/>
  <c r="K30" i="4"/>
  <c r="J37" i="4"/>
  <c r="J8" i="5"/>
  <c r="J5" i="5"/>
  <c r="I16" i="5"/>
  <c r="H8" i="5"/>
  <c r="I5" i="5" s="1"/>
  <c r="I6" i="5" s="1"/>
  <c r="I3" i="6" s="1"/>
  <c r="I6" i="6" s="1"/>
  <c r="I16" i="12" s="1"/>
  <c r="K23" i="16" s="1"/>
  <c r="B8" i="5"/>
  <c r="B16" i="5" s="1"/>
  <c r="E24" i="18"/>
  <c r="D37" i="4"/>
  <c r="G24" i="18"/>
  <c r="F37" i="4"/>
  <c r="D24" i="18"/>
  <c r="C37" i="4"/>
  <c r="B37" i="4"/>
  <c r="C40" i="10" s="1"/>
  <c r="C24" i="18"/>
  <c r="F24" i="18"/>
  <c r="E37" i="4"/>
  <c r="F13" i="4"/>
  <c r="G43" i="18" s="1"/>
  <c r="E14" i="4"/>
  <c r="E6" i="12" s="1"/>
  <c r="H24" i="4"/>
  <c r="H34" i="4"/>
  <c r="G24" i="4"/>
  <c r="G34" i="4"/>
  <c r="K5" i="39" l="1"/>
  <c r="K10" i="39" s="1"/>
  <c r="K12" i="39" s="1"/>
  <c r="K50" i="10"/>
  <c r="D5" i="39"/>
  <c r="D10" i="39" s="1"/>
  <c r="D12" i="39" s="1"/>
  <c r="D50" i="10"/>
  <c r="E5" i="39"/>
  <c r="E10" i="39" s="1"/>
  <c r="E12" i="39" s="1"/>
  <c r="E50" i="10"/>
  <c r="F5" i="39"/>
  <c r="F10" i="39" s="1"/>
  <c r="F12" i="39" s="1"/>
  <c r="F50" i="10"/>
  <c r="G5" i="39"/>
  <c r="G10" i="39" s="1"/>
  <c r="G12" i="39" s="1"/>
  <c r="G50" i="10"/>
  <c r="C5" i="39"/>
  <c r="C10" i="39" s="1"/>
  <c r="C12" i="39" s="1"/>
  <c r="C50" i="10"/>
  <c r="J6" i="5"/>
  <c r="J3" i="6" s="1"/>
  <c r="J6" i="6" s="1"/>
  <c r="J16" i="12" s="1"/>
  <c r="J10" i="39"/>
  <c r="J12" i="39" s="1"/>
  <c r="J7" i="39"/>
  <c r="E4" i="36"/>
  <c r="E46" i="36"/>
  <c r="E32" i="36"/>
  <c r="E18" i="36"/>
  <c r="B6" i="5"/>
  <c r="B3" i="6" s="1"/>
  <c r="L24" i="7"/>
  <c r="L26" i="7" s="1"/>
  <c r="L48" i="7" s="1"/>
  <c r="H23" i="7"/>
  <c r="H25" i="7" s="1"/>
  <c r="H14" i="8" s="1"/>
  <c r="H16" i="8" s="1"/>
  <c r="G48" i="7"/>
  <c r="H47" i="7" s="1"/>
  <c r="L23" i="7"/>
  <c r="K48" i="7"/>
  <c r="L47" i="7" s="1"/>
  <c r="F23" i="7"/>
  <c r="F25" i="7" s="1"/>
  <c r="F14" i="8" s="1"/>
  <c r="F16" i="8" s="1"/>
  <c r="E48" i="7"/>
  <c r="F47" i="7" s="1"/>
  <c r="G23" i="7"/>
  <c r="G25" i="7" s="1"/>
  <c r="G14" i="8" s="1"/>
  <c r="G16" i="8" s="1"/>
  <c r="F48" i="7"/>
  <c r="G47" i="7" s="1"/>
  <c r="J23" i="7"/>
  <c r="J25" i="7" s="1"/>
  <c r="J14" i="8" s="1"/>
  <c r="J16" i="8" s="1"/>
  <c r="I48" i="7"/>
  <c r="J47" i="7" s="1"/>
  <c r="I23" i="7"/>
  <c r="I25" i="7" s="1"/>
  <c r="I14" i="8" s="1"/>
  <c r="I16" i="8" s="1"/>
  <c r="H48" i="7"/>
  <c r="I47" i="7" s="1"/>
  <c r="E23" i="7"/>
  <c r="E25" i="7" s="1"/>
  <c r="E14" i="8" s="1"/>
  <c r="E16" i="8" s="1"/>
  <c r="D48" i="7"/>
  <c r="E47" i="7" s="1"/>
  <c r="K25" i="7"/>
  <c r="K14" i="8" s="1"/>
  <c r="K16" i="8" s="1"/>
  <c r="D23" i="7"/>
  <c r="D25" i="7" s="1"/>
  <c r="D14" i="8" s="1"/>
  <c r="D16" i="8" s="1"/>
  <c r="C48" i="7"/>
  <c r="D47" i="7" s="1"/>
  <c r="H16" i="5"/>
  <c r="I15" i="5" s="1"/>
  <c r="I18" i="12" s="1"/>
  <c r="K37" i="4"/>
  <c r="L50" i="10" s="1"/>
  <c r="K41" i="10"/>
  <c r="K40" i="10"/>
  <c r="K48" i="10"/>
  <c r="K27" i="18"/>
  <c r="J41" i="15"/>
  <c r="I19" i="12"/>
  <c r="J15" i="5"/>
  <c r="J18" i="12" s="1"/>
  <c r="K5" i="5"/>
  <c r="J16" i="5"/>
  <c r="K8" i="5"/>
  <c r="K16" i="5" s="1"/>
  <c r="C5" i="5"/>
  <c r="C16" i="5"/>
  <c r="D5" i="5"/>
  <c r="D6" i="5" s="1"/>
  <c r="D3" i="6" s="1"/>
  <c r="D8" i="6" s="1"/>
  <c r="G5" i="5"/>
  <c r="G6" i="5" s="1"/>
  <c r="G3" i="6" s="1"/>
  <c r="G8" i="6" s="1"/>
  <c r="F16" i="5"/>
  <c r="D16" i="5"/>
  <c r="E5" i="5"/>
  <c r="E6" i="5" s="1"/>
  <c r="E3" i="6" s="1"/>
  <c r="E8" i="6" s="1"/>
  <c r="F5" i="5"/>
  <c r="F6" i="5" s="1"/>
  <c r="F3" i="6" s="1"/>
  <c r="F8" i="6" s="1"/>
  <c r="E16" i="5"/>
  <c r="H5" i="5"/>
  <c r="H6" i="5" s="1"/>
  <c r="H3" i="6" s="1"/>
  <c r="G16" i="5"/>
  <c r="H11" i="23"/>
  <c r="J24" i="16"/>
  <c r="G11" i="23"/>
  <c r="I24" i="16"/>
  <c r="C27" i="18"/>
  <c r="C48" i="10"/>
  <c r="C41" i="10"/>
  <c r="H24" i="18"/>
  <c r="G37" i="4"/>
  <c r="I24" i="18"/>
  <c r="H37" i="4"/>
  <c r="G48" i="10"/>
  <c r="G41" i="10"/>
  <c r="G27" i="18"/>
  <c r="G40" i="10"/>
  <c r="C15" i="5"/>
  <c r="C18" i="12" s="1"/>
  <c r="B19" i="12"/>
  <c r="C41" i="15"/>
  <c r="F27" i="18"/>
  <c r="F48" i="10"/>
  <c r="F41" i="10"/>
  <c r="F40" i="10"/>
  <c r="D48" i="10"/>
  <c r="D41" i="10"/>
  <c r="D27" i="18"/>
  <c r="D40" i="10"/>
  <c r="E27" i="18"/>
  <c r="E41" i="10"/>
  <c r="E48" i="10"/>
  <c r="E40" i="10"/>
  <c r="G13" i="4"/>
  <c r="H43" i="18" s="1"/>
  <c r="F14" i="4"/>
  <c r="F6" i="12" s="1"/>
  <c r="C13" i="7"/>
  <c r="C6" i="8" s="1"/>
  <c r="C8" i="8" s="1"/>
  <c r="C7" i="7"/>
  <c r="C2" i="8" s="1"/>
  <c r="C19" i="7"/>
  <c r="C10" i="8" s="1"/>
  <c r="C12" i="8" s="1"/>
  <c r="C16" i="3"/>
  <c r="D16" i="3" s="1"/>
  <c r="E16" i="3" s="1"/>
  <c r="F16" i="3" s="1"/>
  <c r="G16" i="3" s="1"/>
  <c r="H16" i="3" s="1"/>
  <c r="I16" i="3" s="1"/>
  <c r="J16" i="3" s="1"/>
  <c r="K16" i="3" s="1"/>
  <c r="L16" i="3" s="1"/>
  <c r="F7" i="39" l="1"/>
  <c r="F14" i="39" s="1"/>
  <c r="E8" i="12" s="1"/>
  <c r="J14" i="39"/>
  <c r="I8" i="12" s="1"/>
  <c r="I20" i="36" s="1"/>
  <c r="D7" i="39"/>
  <c r="K7" i="39"/>
  <c r="K14" i="39" s="1"/>
  <c r="J8" i="12" s="1"/>
  <c r="G7" i="39"/>
  <c r="G14" i="39" s="1"/>
  <c r="F8" i="12" s="1"/>
  <c r="E7" i="39"/>
  <c r="E14" i="39" s="1"/>
  <c r="D8" i="12" s="1"/>
  <c r="C7" i="39"/>
  <c r="C14" i="39" s="1"/>
  <c r="B8" i="12" s="1"/>
  <c r="B34" i="36" s="1"/>
  <c r="H5" i="39"/>
  <c r="H7" i="39" s="1"/>
  <c r="H50" i="10"/>
  <c r="I5" i="39"/>
  <c r="I10" i="39" s="1"/>
  <c r="I12" i="39" s="1"/>
  <c r="I50" i="10"/>
  <c r="C6" i="5"/>
  <c r="C3" i="6" s="1"/>
  <c r="C49" i="10"/>
  <c r="I21" i="12"/>
  <c r="I52" i="36" s="1"/>
  <c r="G6" i="6"/>
  <c r="G16" i="12" s="1"/>
  <c r="D14" i="39"/>
  <c r="C8" i="12" s="1"/>
  <c r="L41" i="10"/>
  <c r="L5" i="39"/>
  <c r="I41" i="15"/>
  <c r="H19" i="12"/>
  <c r="E6" i="6"/>
  <c r="E16" i="12" s="1"/>
  <c r="L25" i="7"/>
  <c r="L14" i="8" s="1"/>
  <c r="L16" i="8" s="1"/>
  <c r="F4" i="36"/>
  <c r="F18" i="36"/>
  <c r="F46" i="36"/>
  <c r="F32" i="36"/>
  <c r="F6" i="6"/>
  <c r="F6" i="23" s="1"/>
  <c r="D6" i="6"/>
  <c r="D10" i="6" s="1"/>
  <c r="D14" i="6" s="1"/>
  <c r="K6" i="5"/>
  <c r="K3" i="6" s="1"/>
  <c r="K6" i="6" s="1"/>
  <c r="B6" i="6"/>
  <c r="B16" i="12" s="1"/>
  <c r="B21" i="12" s="1"/>
  <c r="B8" i="6"/>
  <c r="I38" i="36"/>
  <c r="L27" i="18"/>
  <c r="L48" i="10"/>
  <c r="L40" i="10"/>
  <c r="K19" i="12"/>
  <c r="L41" i="15"/>
  <c r="K41" i="15"/>
  <c r="J19" i="12"/>
  <c r="J21" i="12" s="1"/>
  <c r="K15" i="5"/>
  <c r="K18" i="12" s="1"/>
  <c r="L23" i="16"/>
  <c r="H41" i="15"/>
  <c r="G19" i="12"/>
  <c r="H15" i="5"/>
  <c r="H18" i="12" s="1"/>
  <c r="E41" i="15"/>
  <c r="D19" i="12"/>
  <c r="E15" i="5"/>
  <c r="E18" i="12" s="1"/>
  <c r="F15" i="5"/>
  <c r="F18" i="12" s="1"/>
  <c r="F41" i="15"/>
  <c r="E19" i="12"/>
  <c r="G15" i="5"/>
  <c r="G18" i="12" s="1"/>
  <c r="F19" i="12"/>
  <c r="G41" i="15"/>
  <c r="H8" i="6"/>
  <c r="H6" i="6"/>
  <c r="E6" i="23"/>
  <c r="D15" i="5"/>
  <c r="D18" i="12" s="1"/>
  <c r="C19" i="12"/>
  <c r="D41" i="15"/>
  <c r="E24" i="16"/>
  <c r="B11" i="23"/>
  <c r="D24" i="16"/>
  <c r="I27" i="18"/>
  <c r="I48" i="10"/>
  <c r="I41" i="10"/>
  <c r="I40" i="10"/>
  <c r="H48" i="10"/>
  <c r="H41" i="10"/>
  <c r="H27" i="18"/>
  <c r="H40" i="10"/>
  <c r="C4" i="8"/>
  <c r="H13" i="4"/>
  <c r="G14" i="4"/>
  <c r="G6" i="12" s="1"/>
  <c r="D17" i="7"/>
  <c r="C44" i="7"/>
  <c r="D43" i="7" s="1"/>
  <c r="D11" i="7"/>
  <c r="C40" i="7"/>
  <c r="D39" i="7" s="1"/>
  <c r="C36" i="7"/>
  <c r="D5" i="7"/>
  <c r="C17" i="3"/>
  <c r="D15" i="3" s="1"/>
  <c r="D17" i="3" s="1"/>
  <c r="E15" i="3" s="1"/>
  <c r="E17" i="3" s="1"/>
  <c r="F15" i="3" s="1"/>
  <c r="F17" i="3" s="1"/>
  <c r="G15" i="3" s="1"/>
  <c r="G17" i="3" s="1"/>
  <c r="H15" i="3" s="1"/>
  <c r="H17" i="3" s="1"/>
  <c r="I15" i="3" s="1"/>
  <c r="I17" i="3" s="1"/>
  <c r="J15" i="3" s="1"/>
  <c r="J17" i="3" s="1"/>
  <c r="K15" i="3" s="1"/>
  <c r="K17" i="3" s="1"/>
  <c r="L15" i="3" s="1"/>
  <c r="L17" i="3" s="1"/>
  <c r="P5" i="3"/>
  <c r="P15" i="3"/>
  <c r="C6" i="3"/>
  <c r="I48" i="36" l="1"/>
  <c r="I34" i="36"/>
  <c r="I6" i="36"/>
  <c r="G10" i="6"/>
  <c r="G14" i="6" s="1"/>
  <c r="G6" i="23"/>
  <c r="I7" i="39"/>
  <c r="I14" i="39" s="1"/>
  <c r="H8" i="12" s="1"/>
  <c r="F10" i="6"/>
  <c r="F14" i="6" s="1"/>
  <c r="F16" i="12"/>
  <c r="F21" i="12" s="1"/>
  <c r="I10" i="36"/>
  <c r="I24" i="36"/>
  <c r="H10" i="39"/>
  <c r="H12" i="39" s="1"/>
  <c r="H14" i="39" s="1"/>
  <c r="G8" i="12" s="1"/>
  <c r="B20" i="36"/>
  <c r="B6" i="36"/>
  <c r="D16" i="12"/>
  <c r="D21" i="12" s="1"/>
  <c r="D6" i="23"/>
  <c r="B48" i="36"/>
  <c r="F34" i="36"/>
  <c r="F6" i="36"/>
  <c r="F48" i="36"/>
  <c r="F20" i="36"/>
  <c r="J34" i="36"/>
  <c r="J6" i="36"/>
  <c r="J48" i="36"/>
  <c r="J20" i="36"/>
  <c r="C34" i="36"/>
  <c r="C48" i="36"/>
  <c r="C20" i="36"/>
  <c r="C6" i="36"/>
  <c r="D48" i="36"/>
  <c r="D20" i="36"/>
  <c r="D34" i="36"/>
  <c r="D6" i="36"/>
  <c r="E48" i="36"/>
  <c r="E20" i="36"/>
  <c r="E34" i="36"/>
  <c r="E6" i="36"/>
  <c r="C8" i="6"/>
  <c r="C6" i="6"/>
  <c r="C16" i="12" s="1"/>
  <c r="C21" i="12" s="1"/>
  <c r="D14" i="7"/>
  <c r="D13" i="7" s="1"/>
  <c r="D6" i="8" s="1"/>
  <c r="D8" i="8" s="1"/>
  <c r="D20" i="7"/>
  <c r="D8" i="7"/>
  <c r="B6" i="23"/>
  <c r="L10" i="39"/>
  <c r="L12" i="39" s="1"/>
  <c r="L7" i="39"/>
  <c r="E10" i="6"/>
  <c r="E14" i="6" s="1"/>
  <c r="B10" i="6"/>
  <c r="B14" i="6" s="1"/>
  <c r="G18" i="36"/>
  <c r="G46" i="36"/>
  <c r="G32" i="36"/>
  <c r="J52" i="36"/>
  <c r="J24" i="36"/>
  <c r="J10" i="36"/>
  <c r="J38" i="36"/>
  <c r="B52" i="36"/>
  <c r="B24" i="36"/>
  <c r="B38" i="36"/>
  <c r="B10" i="36"/>
  <c r="C52" i="7"/>
  <c r="B9" i="23" s="1"/>
  <c r="C18" i="8"/>
  <c r="B5" i="12" s="1"/>
  <c r="D23" i="16"/>
  <c r="G4" i="36"/>
  <c r="I43" i="18"/>
  <c r="I13" i="4"/>
  <c r="K16" i="12"/>
  <c r="H10" i="6"/>
  <c r="H14" i="6" s="1"/>
  <c r="G21" i="12"/>
  <c r="I23" i="16"/>
  <c r="H23" i="16"/>
  <c r="E21" i="12"/>
  <c r="G23" i="16"/>
  <c r="F23" i="16"/>
  <c r="H6" i="23"/>
  <c r="H16" i="12"/>
  <c r="H14" i="4"/>
  <c r="H6" i="12" s="1"/>
  <c r="D35" i="7"/>
  <c r="P16" i="3"/>
  <c r="P17" i="3" s="1"/>
  <c r="Q15" i="3" s="1"/>
  <c r="D6" i="3"/>
  <c r="C7" i="3"/>
  <c r="P6" i="3"/>
  <c r="P7" i="3" s="1"/>
  <c r="E23" i="16" l="1"/>
  <c r="C6" i="23"/>
  <c r="C10" i="6"/>
  <c r="C14" i="6" s="1"/>
  <c r="H48" i="36"/>
  <c r="H20" i="36"/>
  <c r="H34" i="36"/>
  <c r="H6" i="36"/>
  <c r="G6" i="36"/>
  <c r="G48" i="36"/>
  <c r="G20" i="36"/>
  <c r="G34" i="36"/>
  <c r="E5" i="7"/>
  <c r="D36" i="7"/>
  <c r="E35" i="7" s="1"/>
  <c r="D7" i="7"/>
  <c r="D2" i="8" s="1"/>
  <c r="D40" i="7"/>
  <c r="E11" i="7"/>
  <c r="E14" i="7" s="1"/>
  <c r="F11" i="7" s="1"/>
  <c r="D44" i="7"/>
  <c r="E43" i="7" s="1"/>
  <c r="E17" i="7"/>
  <c r="D19" i="7"/>
  <c r="D10" i="8" s="1"/>
  <c r="D12" i="8" s="1"/>
  <c r="L14" i="39"/>
  <c r="K8" i="12" s="1"/>
  <c r="H46" i="36"/>
  <c r="H32" i="36"/>
  <c r="H18" i="36"/>
  <c r="B45" i="36"/>
  <c r="B17" i="36"/>
  <c r="B31" i="36"/>
  <c r="B3" i="36"/>
  <c r="D10" i="36"/>
  <c r="D38" i="36"/>
  <c r="D52" i="36"/>
  <c r="D24" i="36"/>
  <c r="G10" i="36"/>
  <c r="G38" i="36"/>
  <c r="G52" i="36"/>
  <c r="G24" i="36"/>
  <c r="E38" i="36"/>
  <c r="E10" i="36"/>
  <c r="E52" i="36"/>
  <c r="E24" i="36"/>
  <c r="F52" i="36"/>
  <c r="F24" i="36"/>
  <c r="F38" i="36"/>
  <c r="F10" i="36"/>
  <c r="C52" i="36"/>
  <c r="C10" i="36"/>
  <c r="C24" i="36"/>
  <c r="C38" i="36"/>
  <c r="B9" i="12"/>
  <c r="C36" i="15" s="1"/>
  <c r="D51" i="7"/>
  <c r="C11" i="12" s="1"/>
  <c r="H4" i="36"/>
  <c r="M23" i="16"/>
  <c r="K21" i="12"/>
  <c r="J13" i="4"/>
  <c r="J43" i="18"/>
  <c r="I14" i="4"/>
  <c r="I6" i="12" s="1"/>
  <c r="J23" i="16"/>
  <c r="H21" i="12"/>
  <c r="C40" i="15"/>
  <c r="B12" i="12"/>
  <c r="Q16" i="3"/>
  <c r="Q17" i="3" s="1"/>
  <c r="R15" i="3" s="1"/>
  <c r="Q5" i="3"/>
  <c r="E6" i="3"/>
  <c r="D5" i="3"/>
  <c r="E40" i="7" l="1"/>
  <c r="F39" i="7" s="1"/>
  <c r="K48" i="36"/>
  <c r="K20" i="36"/>
  <c r="K34" i="36"/>
  <c r="K6" i="36"/>
  <c r="E13" i="7"/>
  <c r="E6" i="8" s="1"/>
  <c r="E8" i="8" s="1"/>
  <c r="E20" i="7"/>
  <c r="E19" i="7" s="1"/>
  <c r="E10" i="8" s="1"/>
  <c r="E12" i="8" s="1"/>
  <c r="D49" i="10"/>
  <c r="D4" i="8"/>
  <c r="D18" i="8" s="1"/>
  <c r="C5" i="12" s="1"/>
  <c r="D52" i="7"/>
  <c r="E39" i="7"/>
  <c r="E51" i="7" s="1"/>
  <c r="D11" i="12" s="1"/>
  <c r="E8" i="7"/>
  <c r="F14" i="7"/>
  <c r="I46" i="36"/>
  <c r="I32" i="36"/>
  <c r="I18" i="36"/>
  <c r="C5" i="11"/>
  <c r="C43" i="15"/>
  <c r="B35" i="36"/>
  <c r="B36" i="36" s="1"/>
  <c r="B49" i="36"/>
  <c r="B50" i="36" s="1"/>
  <c r="B21" i="36"/>
  <c r="B22" i="36" s="1"/>
  <c r="D28" i="16"/>
  <c r="H10" i="36"/>
  <c r="H38" i="36"/>
  <c r="H52" i="36"/>
  <c r="H24" i="36"/>
  <c r="K24" i="36"/>
  <c r="K10" i="36"/>
  <c r="K52" i="36"/>
  <c r="K38" i="36"/>
  <c r="D5" i="16"/>
  <c r="B2" i="35"/>
  <c r="B14" i="12"/>
  <c r="B3" i="35" s="1"/>
  <c r="B7" i="36"/>
  <c r="B8" i="36" s="1"/>
  <c r="I4" i="36"/>
  <c r="K13" i="4"/>
  <c r="K43" i="18"/>
  <c r="J14" i="4"/>
  <c r="J6" i="12" s="1"/>
  <c r="F6" i="3"/>
  <c r="R16" i="3"/>
  <c r="R17" i="3" s="1"/>
  <c r="S15" i="3" s="1"/>
  <c r="D7" i="3"/>
  <c r="Q6" i="3"/>
  <c r="C17" i="36" l="1"/>
  <c r="C3" i="36"/>
  <c r="C31" i="36"/>
  <c r="C9" i="12"/>
  <c r="C45" i="36"/>
  <c r="D40" i="15"/>
  <c r="C12" i="12"/>
  <c r="C9" i="23"/>
  <c r="F17" i="7"/>
  <c r="E44" i="7"/>
  <c r="F43" i="7" s="1"/>
  <c r="E36" i="7"/>
  <c r="F5" i="7"/>
  <c r="E7" i="7"/>
  <c r="E2" i="8" s="1"/>
  <c r="F40" i="7"/>
  <c r="G11" i="7"/>
  <c r="F13" i="7"/>
  <c r="F6" i="8" s="1"/>
  <c r="J18" i="36"/>
  <c r="J46" i="36"/>
  <c r="J32" i="36"/>
  <c r="C4" i="11"/>
  <c r="J4" i="36"/>
  <c r="L43" i="18"/>
  <c r="K14" i="4"/>
  <c r="K6" i="12" s="1"/>
  <c r="S16" i="3"/>
  <c r="S17" i="3" s="1"/>
  <c r="T15" i="3" s="1"/>
  <c r="E5" i="3"/>
  <c r="G6" i="3"/>
  <c r="Q7" i="3"/>
  <c r="D36" i="15" l="1"/>
  <c r="D4" i="11" s="1"/>
  <c r="F35" i="7"/>
  <c r="F51" i="7" s="1"/>
  <c r="E11" i="12" s="1"/>
  <c r="E52" i="7"/>
  <c r="E4" i="8"/>
  <c r="E18" i="8" s="1"/>
  <c r="D5" i="12" s="1"/>
  <c r="E49" i="10"/>
  <c r="D5" i="11"/>
  <c r="D43" i="15"/>
  <c r="F20" i="7"/>
  <c r="F19" i="7" s="1"/>
  <c r="F10" i="8" s="1"/>
  <c r="F12" i="8" s="1"/>
  <c r="C49" i="36"/>
  <c r="C50" i="36" s="1"/>
  <c r="C21" i="36"/>
  <c r="C22" i="36" s="1"/>
  <c r="C35" i="36"/>
  <c r="C36" i="36" s="1"/>
  <c r="C7" i="36"/>
  <c r="C8" i="36" s="1"/>
  <c r="C2" i="35"/>
  <c r="C14" i="12"/>
  <c r="C3" i="35" s="1"/>
  <c r="E5" i="16"/>
  <c r="F8" i="7"/>
  <c r="G14" i="7"/>
  <c r="G13" i="7" s="1"/>
  <c r="G6" i="8" s="1"/>
  <c r="G39" i="7"/>
  <c r="F8" i="8"/>
  <c r="K18" i="36"/>
  <c r="K46" i="36"/>
  <c r="K32" i="36"/>
  <c r="K4" i="36"/>
  <c r="T16" i="3"/>
  <c r="T17" i="3" s="1"/>
  <c r="U15" i="3" s="1"/>
  <c r="R5" i="3"/>
  <c r="E7" i="3"/>
  <c r="H6" i="3"/>
  <c r="E28" i="16" l="1"/>
  <c r="G17" i="7"/>
  <c r="F44" i="7"/>
  <c r="G43" i="7" s="1"/>
  <c r="D31" i="36"/>
  <c r="D45" i="36"/>
  <c r="D9" i="12"/>
  <c r="E36" i="15" s="1"/>
  <c r="D17" i="36"/>
  <c r="D3" i="36"/>
  <c r="D12" i="12"/>
  <c r="D9" i="23"/>
  <c r="E40" i="15"/>
  <c r="F36" i="7"/>
  <c r="G5" i="7"/>
  <c r="F7" i="7"/>
  <c r="F2" i="8" s="1"/>
  <c r="G8" i="8"/>
  <c r="H11" i="7"/>
  <c r="G40" i="7"/>
  <c r="R6" i="3"/>
  <c r="I6" i="3"/>
  <c r="J6" i="3" s="1"/>
  <c r="U16" i="3"/>
  <c r="U17" i="3" s="1"/>
  <c r="V15" i="3" s="1"/>
  <c r="F5" i="3"/>
  <c r="G35" i="7" l="1"/>
  <c r="G51" i="7" s="1"/>
  <c r="F11" i="12" s="1"/>
  <c r="F52" i="7"/>
  <c r="E5" i="11"/>
  <c r="E43" i="15"/>
  <c r="F49" i="10"/>
  <c r="F4" i="8"/>
  <c r="F18" i="8" s="1"/>
  <c r="E5" i="12" s="1"/>
  <c r="D14" i="12"/>
  <c r="D3" i="35" s="1"/>
  <c r="F5" i="16"/>
  <c r="D2" i="35"/>
  <c r="G20" i="7"/>
  <c r="G19" i="7" s="1"/>
  <c r="G10" i="8" s="1"/>
  <c r="G12" i="8" s="1"/>
  <c r="G8" i="7"/>
  <c r="D21" i="36"/>
  <c r="D22" i="36" s="1"/>
  <c r="D49" i="36"/>
  <c r="D50" i="36" s="1"/>
  <c r="D7" i="36"/>
  <c r="D8" i="36" s="1"/>
  <c r="D35" i="36"/>
  <c r="D36" i="36" s="1"/>
  <c r="H14" i="7"/>
  <c r="H39" i="7"/>
  <c r="K6" i="3"/>
  <c r="R7" i="3"/>
  <c r="S5" i="3" s="1"/>
  <c r="V16" i="3"/>
  <c r="V17" i="3" s="1"/>
  <c r="W15" i="3" s="1"/>
  <c r="W16" i="3" s="1"/>
  <c r="W17" i="3" s="1"/>
  <c r="X15" i="3" s="1"/>
  <c r="X16" i="3" s="1"/>
  <c r="X17" i="3" s="1"/>
  <c r="Y15" i="3" s="1"/>
  <c r="F7" i="3"/>
  <c r="Y16" i="3" l="1"/>
  <c r="Y17" i="3" s="1"/>
  <c r="G36" i="7"/>
  <c r="H5" i="7"/>
  <c r="H8" i="7" s="1"/>
  <c r="H17" i="7"/>
  <c r="G44" i="7"/>
  <c r="H43" i="7" s="1"/>
  <c r="G7" i="7"/>
  <c r="G2" i="8" s="1"/>
  <c r="F28" i="16"/>
  <c r="E4" i="11"/>
  <c r="E45" i="36"/>
  <c r="E17" i="36"/>
  <c r="E3" i="36"/>
  <c r="E31" i="36"/>
  <c r="E9" i="12"/>
  <c r="F36" i="15" s="1"/>
  <c r="E9" i="23"/>
  <c r="E12" i="12"/>
  <c r="F40" i="15"/>
  <c r="I11" i="7"/>
  <c r="H40" i="7"/>
  <c r="H13" i="7"/>
  <c r="H6" i="8" s="1"/>
  <c r="L6" i="3"/>
  <c r="G5" i="3"/>
  <c r="S6" i="3"/>
  <c r="S7" i="3" s="1"/>
  <c r="H7" i="7" l="1"/>
  <c r="H2" i="8" s="1"/>
  <c r="H36" i="7"/>
  <c r="I35" i="7" s="1"/>
  <c r="I5" i="7"/>
  <c r="H20" i="7"/>
  <c r="E2" i="35"/>
  <c r="G5" i="16"/>
  <c r="E14" i="12"/>
  <c r="E3" i="35" s="1"/>
  <c r="H35" i="7"/>
  <c r="H51" i="7" s="1"/>
  <c r="G11" i="12" s="1"/>
  <c r="G52" i="7"/>
  <c r="E7" i="36"/>
  <c r="E8" i="36" s="1"/>
  <c r="E35" i="36"/>
  <c r="E36" i="36" s="1"/>
  <c r="E21" i="36"/>
  <c r="E22" i="36" s="1"/>
  <c r="E49" i="36"/>
  <c r="E50" i="36" s="1"/>
  <c r="G49" i="10"/>
  <c r="G4" i="8"/>
  <c r="G18" i="8" s="1"/>
  <c r="F5" i="12" s="1"/>
  <c r="F43" i="15"/>
  <c r="F5" i="11"/>
  <c r="H8" i="8"/>
  <c r="I14" i="7"/>
  <c r="I13" i="7" s="1"/>
  <c r="I6" i="8" s="1"/>
  <c r="I8" i="8" s="1"/>
  <c r="I39" i="7"/>
  <c r="T5" i="3"/>
  <c r="G7" i="3"/>
  <c r="F12" i="12" l="1"/>
  <c r="G40" i="15"/>
  <c r="F9" i="23"/>
  <c r="I8" i="7"/>
  <c r="I7" i="7" s="1"/>
  <c r="I2" i="8" s="1"/>
  <c r="H44" i="7"/>
  <c r="I17" i="7"/>
  <c r="I20" i="7" s="1"/>
  <c r="F4" i="11"/>
  <c r="G28" i="16"/>
  <c r="F31" i="36"/>
  <c r="F3" i="36"/>
  <c r="F9" i="12"/>
  <c r="G36" i="15" s="1"/>
  <c r="F17" i="36"/>
  <c r="F45" i="36"/>
  <c r="H19" i="7"/>
  <c r="H10" i="8" s="1"/>
  <c r="H12" i="8" s="1"/>
  <c r="H4" i="8"/>
  <c r="J11" i="7"/>
  <c r="I40" i="7"/>
  <c r="T6" i="3"/>
  <c r="H5" i="3"/>
  <c r="H49" i="10" l="1"/>
  <c r="H18" i="8"/>
  <c r="G5" i="12" s="1"/>
  <c r="G9" i="12" s="1"/>
  <c r="I43" i="7"/>
  <c r="I51" i="7" s="1"/>
  <c r="H11" i="12" s="1"/>
  <c r="H52" i="7"/>
  <c r="G43" i="15"/>
  <c r="G5" i="11"/>
  <c r="I19" i="7"/>
  <c r="I10" i="8" s="1"/>
  <c r="I12" i="8" s="1"/>
  <c r="I44" i="7"/>
  <c r="J43" i="7" s="1"/>
  <c r="J17" i="7"/>
  <c r="F2" i="35"/>
  <c r="H5" i="16"/>
  <c r="F14" i="12"/>
  <c r="F3" i="35" s="1"/>
  <c r="I4" i="8"/>
  <c r="F35" i="36"/>
  <c r="F36" i="36" s="1"/>
  <c r="F7" i="36"/>
  <c r="F8" i="36" s="1"/>
  <c r="F21" i="36"/>
  <c r="F22" i="36" s="1"/>
  <c r="F49" i="36"/>
  <c r="F50" i="36" s="1"/>
  <c r="J5" i="7"/>
  <c r="I36" i="7"/>
  <c r="J35" i="7" s="1"/>
  <c r="J39" i="7"/>
  <c r="J14" i="7"/>
  <c r="J13" i="7" s="1"/>
  <c r="J6" i="8" s="1"/>
  <c r="J8" i="8" s="1"/>
  <c r="H7" i="3"/>
  <c r="T7" i="3"/>
  <c r="G3" i="36" l="1"/>
  <c r="G31" i="36"/>
  <c r="G17" i="36"/>
  <c r="G45" i="36"/>
  <c r="H36" i="15"/>
  <c r="H4" i="11" s="1"/>
  <c r="G2" i="35"/>
  <c r="I5" i="16"/>
  <c r="J20" i="7"/>
  <c r="J19" i="7" s="1"/>
  <c r="J10" i="8" s="1"/>
  <c r="J12" i="8" s="1"/>
  <c r="I52" i="7"/>
  <c r="I40" i="15" s="1"/>
  <c r="J8" i="7"/>
  <c r="H40" i="15"/>
  <c r="G9" i="23"/>
  <c r="G12" i="12"/>
  <c r="I18" i="8"/>
  <c r="H5" i="12" s="1"/>
  <c r="J51" i="7"/>
  <c r="I11" i="12" s="1"/>
  <c r="I49" i="10"/>
  <c r="G4" i="11"/>
  <c r="H28" i="16"/>
  <c r="J40" i="7"/>
  <c r="K11" i="7"/>
  <c r="I5" i="3"/>
  <c r="U5" i="3"/>
  <c r="H9" i="23" l="1"/>
  <c r="I28" i="16"/>
  <c r="H12" i="12"/>
  <c r="H21" i="36" s="1"/>
  <c r="K5" i="7"/>
  <c r="K8" i="7" s="1"/>
  <c r="J36" i="7"/>
  <c r="K35" i="7" s="1"/>
  <c r="H43" i="15"/>
  <c r="H5" i="11"/>
  <c r="G49" i="36"/>
  <c r="G50" i="36" s="1"/>
  <c r="G35" i="36"/>
  <c r="G36" i="36" s="1"/>
  <c r="G7" i="36"/>
  <c r="G8" i="36" s="1"/>
  <c r="G14" i="12"/>
  <c r="G3" i="35" s="1"/>
  <c r="G21" i="36"/>
  <c r="G22" i="36" s="1"/>
  <c r="H45" i="36"/>
  <c r="H17" i="36"/>
  <c r="H31" i="36"/>
  <c r="H3" i="36"/>
  <c r="H9" i="12"/>
  <c r="J7" i="7"/>
  <c r="J2" i="8" s="1"/>
  <c r="K17" i="7"/>
  <c r="J44" i="7"/>
  <c r="K43" i="7" s="1"/>
  <c r="I5" i="11"/>
  <c r="I43" i="15"/>
  <c r="K14" i="7"/>
  <c r="K39" i="7"/>
  <c r="U6" i="3"/>
  <c r="I7" i="3"/>
  <c r="J5" i="3" s="1"/>
  <c r="H49" i="36" l="1"/>
  <c r="H50" i="36" s="1"/>
  <c r="H35" i="36"/>
  <c r="H36" i="36" s="1"/>
  <c r="H7" i="36"/>
  <c r="H8" i="36" s="1"/>
  <c r="H22" i="36"/>
  <c r="J52" i="7"/>
  <c r="J40" i="15" s="1"/>
  <c r="H14" i="12"/>
  <c r="I36" i="15"/>
  <c r="K51" i="7"/>
  <c r="J11" i="12" s="1"/>
  <c r="J49" i="10"/>
  <c r="J4" i="8"/>
  <c r="J18" i="8" s="1"/>
  <c r="I5" i="12" s="1"/>
  <c r="J5" i="16"/>
  <c r="K20" i="7"/>
  <c r="K19" i="7" s="1"/>
  <c r="K10" i="8" s="1"/>
  <c r="K12" i="8" s="1"/>
  <c r="K7" i="7"/>
  <c r="K2" i="8" s="1"/>
  <c r="K36" i="7"/>
  <c r="L35" i="7" s="1"/>
  <c r="L5" i="7"/>
  <c r="L8" i="7" s="1"/>
  <c r="L36" i="7" s="1"/>
  <c r="K40" i="7"/>
  <c r="L11" i="7"/>
  <c r="K13" i="7"/>
  <c r="K6" i="8" s="1"/>
  <c r="J7" i="3"/>
  <c r="U7" i="3"/>
  <c r="I12" i="12" l="1"/>
  <c r="I21" i="36" s="1"/>
  <c r="L7" i="7"/>
  <c r="L2" i="8" s="1"/>
  <c r="L4" i="8" s="1"/>
  <c r="J28" i="16"/>
  <c r="I4" i="11"/>
  <c r="K49" i="10"/>
  <c r="K4" i="8"/>
  <c r="K44" i="7"/>
  <c r="L43" i="7" s="1"/>
  <c r="L17" i="7"/>
  <c r="I17" i="36"/>
  <c r="I31" i="36"/>
  <c r="I3" i="36"/>
  <c r="I45" i="36"/>
  <c r="I9" i="12"/>
  <c r="J36" i="15" s="1"/>
  <c r="K8" i="8"/>
  <c r="L14" i="7"/>
  <c r="L40" i="7" s="1"/>
  <c r="J5" i="11"/>
  <c r="J43" i="15"/>
  <c r="L39" i="7"/>
  <c r="K5" i="3"/>
  <c r="V5" i="3"/>
  <c r="I35" i="36" l="1"/>
  <c r="I36" i="36" s="1"/>
  <c r="I49" i="36"/>
  <c r="I50" i="36" s="1"/>
  <c r="I7" i="36"/>
  <c r="I8" i="36" s="1"/>
  <c r="L51" i="7"/>
  <c r="K11" i="12" s="1"/>
  <c r="K52" i="7"/>
  <c r="J12" i="12" s="1"/>
  <c r="L13" i="7"/>
  <c r="L6" i="8" s="1"/>
  <c r="L8" i="8" s="1"/>
  <c r="K5" i="16"/>
  <c r="I22" i="36"/>
  <c r="L20" i="7"/>
  <c r="L44" i="7" s="1"/>
  <c r="L52" i="7" s="1"/>
  <c r="I14" i="12"/>
  <c r="K18" i="8"/>
  <c r="J5" i="12" s="1"/>
  <c r="J9" i="12" s="1"/>
  <c r="K36" i="15" s="1"/>
  <c r="K7" i="3"/>
  <c r="V6" i="3"/>
  <c r="K40" i="15" l="1"/>
  <c r="K5" i="11" s="1"/>
  <c r="J3" i="36"/>
  <c r="J45" i="36"/>
  <c r="J31" i="36"/>
  <c r="J17" i="36"/>
  <c r="L19" i="7"/>
  <c r="L10" i="8" s="1"/>
  <c r="L12" i="8" s="1"/>
  <c r="L18" i="8" s="1"/>
  <c r="K5" i="12" s="1"/>
  <c r="K17" i="36" s="1"/>
  <c r="K12" i="12"/>
  <c r="K49" i="36" s="1"/>
  <c r="L40" i="15"/>
  <c r="L43" i="15" s="1"/>
  <c r="K28" i="16"/>
  <c r="J4" i="11"/>
  <c r="J14" i="12"/>
  <c r="J35" i="36"/>
  <c r="J36" i="36" s="1"/>
  <c r="J21" i="36"/>
  <c r="J22" i="36" s="1"/>
  <c r="J7" i="36"/>
  <c r="J49" i="36"/>
  <c r="J50" i="36" s="1"/>
  <c r="L5" i="16"/>
  <c r="L5" i="3"/>
  <c r="V7" i="3"/>
  <c r="W5" i="3" s="1"/>
  <c r="L5" i="11" l="1"/>
  <c r="J8" i="36"/>
  <c r="K43" i="15"/>
  <c r="K45" i="36"/>
  <c r="K50" i="36" s="1"/>
  <c r="K21" i="36"/>
  <c r="K22" i="36" s="1"/>
  <c r="K9" i="12"/>
  <c r="L36" i="15" s="1"/>
  <c r="L4" i="11" s="1"/>
  <c r="K35" i="36"/>
  <c r="K31" i="36"/>
  <c r="L49" i="10"/>
  <c r="K7" i="36"/>
  <c r="K3" i="36"/>
  <c r="L28" i="16"/>
  <c r="K4" i="11"/>
  <c r="W6" i="3"/>
  <c r="L7" i="3"/>
  <c r="E6" i="1"/>
  <c r="K8" i="36" l="1"/>
  <c r="K36" i="36"/>
  <c r="M28" i="16"/>
  <c r="M5" i="16"/>
  <c r="K14" i="12"/>
  <c r="W7" i="3"/>
  <c r="E13" i="1"/>
  <c r="E14" i="1"/>
  <c r="D33" i="15" s="1"/>
  <c r="E33" i="15" s="1"/>
  <c r="F33" i="15" s="1"/>
  <c r="G33" i="15" s="1"/>
  <c r="H33" i="15" s="1"/>
  <c r="I33" i="15" s="1"/>
  <c r="J33" i="15" s="1"/>
  <c r="K33" i="15" s="1"/>
  <c r="L33" i="15" s="1"/>
  <c r="X5" i="3" l="1"/>
  <c r="C11" i="3"/>
  <c r="C12" i="3" s="1"/>
  <c r="P10" i="3"/>
  <c r="C19" i="3"/>
  <c r="C28" i="15" l="1"/>
  <c r="C22" i="10"/>
  <c r="X6" i="3"/>
  <c r="X7" i="3" s="1"/>
  <c r="B8" i="14"/>
  <c r="D23" i="10"/>
  <c r="D10" i="3"/>
  <c r="C21" i="3"/>
  <c r="C30" i="15" s="1"/>
  <c r="D11" i="3"/>
  <c r="C20" i="3"/>
  <c r="P19" i="3"/>
  <c r="P11" i="3"/>
  <c r="D22" i="10" l="1"/>
  <c r="E22" i="10" s="1"/>
  <c r="F22" i="10" s="1"/>
  <c r="G22" i="10" s="1"/>
  <c r="H22" i="10" s="1"/>
  <c r="I22" i="10" s="1"/>
  <c r="J22" i="10" s="1"/>
  <c r="K22" i="10" s="1"/>
  <c r="L22" i="10" s="1"/>
  <c r="C27" i="10"/>
  <c r="Y5" i="3"/>
  <c r="C6" i="31"/>
  <c r="C9" i="30"/>
  <c r="C8" i="29"/>
  <c r="C53" i="17"/>
  <c r="C40" i="17"/>
  <c r="C7" i="17"/>
  <c r="D32" i="15"/>
  <c r="C8" i="14"/>
  <c r="B32" i="12"/>
  <c r="C29" i="15"/>
  <c r="E23" i="10"/>
  <c r="D12" i="3"/>
  <c r="D19" i="3"/>
  <c r="D28" i="15" s="1"/>
  <c r="P12" i="3"/>
  <c r="P20" i="3"/>
  <c r="B7" i="14" s="1"/>
  <c r="E11" i="3"/>
  <c r="D20" i="3"/>
  <c r="B23" i="12" l="1"/>
  <c r="B11" i="36" s="1"/>
  <c r="D27" i="10"/>
  <c r="C23" i="12" s="1"/>
  <c r="E27" i="10"/>
  <c r="D23" i="12" s="1"/>
  <c r="Y6" i="3"/>
  <c r="Y7" i="3" s="1"/>
  <c r="D6" i="31"/>
  <c r="D9" i="30"/>
  <c r="D8" i="29"/>
  <c r="B7" i="29"/>
  <c r="B8" i="30"/>
  <c r="B5" i="31"/>
  <c r="D7" i="17"/>
  <c r="D53" i="17"/>
  <c r="D40" i="17"/>
  <c r="B5" i="17"/>
  <c r="B51" i="17"/>
  <c r="B39" i="17"/>
  <c r="E32" i="15"/>
  <c r="D8" i="14"/>
  <c r="D29" i="15"/>
  <c r="C32" i="12"/>
  <c r="B6" i="14"/>
  <c r="F23" i="10"/>
  <c r="F27" i="10" s="1"/>
  <c r="E23" i="12" s="1"/>
  <c r="F11" i="3"/>
  <c r="E20" i="3"/>
  <c r="E10" i="3"/>
  <c r="D21" i="3"/>
  <c r="D30" i="15" s="1"/>
  <c r="Q10" i="3"/>
  <c r="P21" i="3"/>
  <c r="B53" i="36" l="1"/>
  <c r="B5" i="23"/>
  <c r="B39" i="36"/>
  <c r="B36" i="17"/>
  <c r="D21" i="16"/>
  <c r="B25" i="36"/>
  <c r="C11" i="36"/>
  <c r="C25" i="36"/>
  <c r="C53" i="36"/>
  <c r="C39" i="36"/>
  <c r="E21" i="16"/>
  <c r="E6" i="31"/>
  <c r="E9" i="30"/>
  <c r="E8" i="29"/>
  <c r="C8" i="30"/>
  <c r="C5" i="31"/>
  <c r="C7" i="29"/>
  <c r="C36" i="17"/>
  <c r="C5" i="23"/>
  <c r="F32" i="15"/>
  <c r="E53" i="17"/>
  <c r="E40" i="17"/>
  <c r="E7" i="17"/>
  <c r="C39" i="17"/>
  <c r="C5" i="17"/>
  <c r="C51" i="17"/>
  <c r="E8" i="14"/>
  <c r="E29" i="15"/>
  <c r="D32" i="12"/>
  <c r="G23" i="10"/>
  <c r="G27" i="10" s="1"/>
  <c r="F23" i="12" s="1"/>
  <c r="C6" i="14"/>
  <c r="Q11" i="3"/>
  <c r="Q20" i="3" s="1"/>
  <c r="C7" i="14" s="1"/>
  <c r="Q19" i="3"/>
  <c r="G11" i="3"/>
  <c r="F20" i="3"/>
  <c r="E12" i="3"/>
  <c r="E19" i="3"/>
  <c r="E28" i="15" s="1"/>
  <c r="D11" i="36" l="1"/>
  <c r="D53" i="36"/>
  <c r="D39" i="36"/>
  <c r="D25" i="36"/>
  <c r="D36" i="17"/>
  <c r="F6" i="31"/>
  <c r="F9" i="30"/>
  <c r="F8" i="29"/>
  <c r="D8" i="30"/>
  <c r="D5" i="31"/>
  <c r="D7" i="29"/>
  <c r="F21" i="16"/>
  <c r="D5" i="23"/>
  <c r="G32" i="15"/>
  <c r="F53" i="17"/>
  <c r="F40" i="17"/>
  <c r="F7" i="17"/>
  <c r="D5" i="17"/>
  <c r="D51" i="17"/>
  <c r="D39" i="17"/>
  <c r="F8" i="14"/>
  <c r="H23" i="10"/>
  <c r="H27" i="10" s="1"/>
  <c r="G23" i="12" s="1"/>
  <c r="E32" i="12"/>
  <c r="F29" i="15"/>
  <c r="D6" i="14"/>
  <c r="H11" i="3"/>
  <c r="G20" i="3"/>
  <c r="Q12" i="3"/>
  <c r="F10" i="3"/>
  <c r="E21" i="3"/>
  <c r="E30" i="15" s="1"/>
  <c r="E11" i="36" l="1"/>
  <c r="E53" i="36"/>
  <c r="E39" i="36"/>
  <c r="E25" i="36"/>
  <c r="G21" i="16"/>
  <c r="G6" i="31"/>
  <c r="G9" i="30"/>
  <c r="G8" i="29"/>
  <c r="E8" i="30"/>
  <c r="E5" i="31"/>
  <c r="E7" i="29"/>
  <c r="E36" i="17"/>
  <c r="E5" i="23"/>
  <c r="H32" i="15"/>
  <c r="G53" i="17"/>
  <c r="G40" i="17"/>
  <c r="G7" i="17"/>
  <c r="E5" i="17"/>
  <c r="E51" i="17"/>
  <c r="E39" i="17"/>
  <c r="G8" i="14"/>
  <c r="E6" i="14"/>
  <c r="F32" i="12"/>
  <c r="G29" i="15"/>
  <c r="I23" i="10"/>
  <c r="I11" i="3"/>
  <c r="H20" i="3"/>
  <c r="F12" i="3"/>
  <c r="F19" i="3"/>
  <c r="F28" i="15" s="1"/>
  <c r="R10" i="3"/>
  <c r="Q21" i="3"/>
  <c r="F11" i="36" l="1"/>
  <c r="F53" i="36"/>
  <c r="F39" i="36"/>
  <c r="F25" i="36"/>
  <c r="G11" i="36"/>
  <c r="G25" i="36"/>
  <c r="G53" i="36"/>
  <c r="G39" i="36"/>
  <c r="I20" i="3"/>
  <c r="I29" i="15" s="1"/>
  <c r="J11" i="3"/>
  <c r="J23" i="10"/>
  <c r="I27" i="10"/>
  <c r="H23" i="12" s="1"/>
  <c r="H8" i="29"/>
  <c r="H6" i="31"/>
  <c r="H9" i="30"/>
  <c r="F5" i="31"/>
  <c r="F8" i="30"/>
  <c r="F7" i="29"/>
  <c r="F5" i="23"/>
  <c r="G5" i="23"/>
  <c r="F36" i="17"/>
  <c r="I32" i="15"/>
  <c r="J32" i="15" s="1"/>
  <c r="K32" i="15" s="1"/>
  <c r="L32" i="15" s="1"/>
  <c r="H7" i="17"/>
  <c r="H53" i="17"/>
  <c r="H40" i="17"/>
  <c r="H21" i="16"/>
  <c r="F51" i="17"/>
  <c r="F39" i="17"/>
  <c r="F5" i="17"/>
  <c r="G36" i="17"/>
  <c r="H8" i="14"/>
  <c r="H29" i="15"/>
  <c r="G32" i="12"/>
  <c r="F6" i="14"/>
  <c r="I21" i="16"/>
  <c r="R11" i="3"/>
  <c r="R19" i="3"/>
  <c r="G10" i="3"/>
  <c r="F21" i="3"/>
  <c r="F30" i="15" s="1"/>
  <c r="H11" i="36" l="1"/>
  <c r="H53" i="36"/>
  <c r="H39" i="36"/>
  <c r="H25" i="36"/>
  <c r="H32" i="12"/>
  <c r="H7" i="29" s="1"/>
  <c r="K23" i="10"/>
  <c r="J27" i="10"/>
  <c r="I23" i="12" s="1"/>
  <c r="K11" i="3"/>
  <c r="J20" i="3"/>
  <c r="G5" i="31"/>
  <c r="G8" i="30"/>
  <c r="G7" i="29"/>
  <c r="B20" i="15"/>
  <c r="C6" i="16" s="1"/>
  <c r="C8" i="13"/>
  <c r="G8" i="13" s="1"/>
  <c r="C9" i="13" s="1"/>
  <c r="H5" i="23"/>
  <c r="G39" i="17"/>
  <c r="G5" i="17"/>
  <c r="G51" i="17"/>
  <c r="H36" i="17"/>
  <c r="J21" i="16"/>
  <c r="G6" i="14"/>
  <c r="R12" i="3"/>
  <c r="R20" i="3"/>
  <c r="D7" i="14" s="1"/>
  <c r="G12" i="3"/>
  <c r="G19" i="3"/>
  <c r="G28" i="15" s="1"/>
  <c r="H8" i="30" l="1"/>
  <c r="H39" i="17"/>
  <c r="I11" i="36"/>
  <c r="I53" i="36"/>
  <c r="I39" i="36"/>
  <c r="I25" i="36"/>
  <c r="H6" i="14"/>
  <c r="H5" i="17"/>
  <c r="H5" i="31"/>
  <c r="H51" i="17"/>
  <c r="L11" i="3"/>
  <c r="L20" i="3" s="1"/>
  <c r="K20" i="3"/>
  <c r="K21" i="16"/>
  <c r="I36" i="17"/>
  <c r="I32" i="12"/>
  <c r="J29" i="15"/>
  <c r="L23" i="10"/>
  <c r="L27" i="10" s="1"/>
  <c r="K23" i="12" s="1"/>
  <c r="K27" i="10"/>
  <c r="J23" i="12" s="1"/>
  <c r="D8" i="13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D9" i="13"/>
  <c r="G9" i="13"/>
  <c r="C10" i="13" s="1"/>
  <c r="S10" i="3"/>
  <c r="R21" i="3"/>
  <c r="H10" i="3"/>
  <c r="G21" i="3"/>
  <c r="G30" i="15" s="1"/>
  <c r="J11" i="36" l="1"/>
  <c r="J53" i="36"/>
  <c r="J39" i="36"/>
  <c r="J25" i="36"/>
  <c r="K11" i="36"/>
  <c r="K25" i="36"/>
  <c r="K53" i="36"/>
  <c r="K39" i="36"/>
  <c r="I8" i="30"/>
  <c r="I6" i="14"/>
  <c r="I39" i="17"/>
  <c r="I7" i="29"/>
  <c r="I51" i="17"/>
  <c r="L21" i="16"/>
  <c r="J36" i="17"/>
  <c r="J32" i="12"/>
  <c r="K29" i="15"/>
  <c r="K36" i="17"/>
  <c r="M21" i="16"/>
  <c r="L29" i="15"/>
  <c r="K32" i="12"/>
  <c r="G10" i="13"/>
  <c r="C11" i="13" s="1"/>
  <c r="D10" i="13"/>
  <c r="S11" i="3"/>
  <c r="S19" i="3"/>
  <c r="H12" i="3"/>
  <c r="H19" i="3"/>
  <c r="H28" i="15" s="1"/>
  <c r="J51" i="17" l="1"/>
  <c r="J39" i="17"/>
  <c r="J8" i="30"/>
  <c r="J7" i="29"/>
  <c r="J6" i="14"/>
  <c r="K39" i="17"/>
  <c r="K7" i="29"/>
  <c r="K51" i="17"/>
  <c r="K6" i="14"/>
  <c r="K8" i="30"/>
  <c r="D11" i="13"/>
  <c r="G11" i="13"/>
  <c r="C12" i="13" s="1"/>
  <c r="I10" i="3"/>
  <c r="H21" i="3"/>
  <c r="H30" i="15" s="1"/>
  <c r="S12" i="3"/>
  <c r="S20" i="3"/>
  <c r="E7" i="14" s="1"/>
  <c r="G12" i="13" l="1"/>
  <c r="C13" i="13" s="1"/>
  <c r="D12" i="13"/>
  <c r="I12" i="3"/>
  <c r="I19" i="3"/>
  <c r="I28" i="15" s="1"/>
  <c r="T10" i="3"/>
  <c r="S21" i="3"/>
  <c r="I21" i="3" l="1"/>
  <c r="I30" i="15" s="1"/>
  <c r="J10" i="3"/>
  <c r="D13" i="13"/>
  <c r="G13" i="13"/>
  <c r="C14" i="13" s="1"/>
  <c r="T11" i="3"/>
  <c r="T19" i="3"/>
  <c r="J12" i="3" l="1"/>
  <c r="J19" i="3"/>
  <c r="J28" i="15" s="1"/>
  <c r="D14" i="13"/>
  <c r="G14" i="13"/>
  <c r="C15" i="13" s="1"/>
  <c r="T12" i="3"/>
  <c r="T20" i="3"/>
  <c r="F7" i="14" s="1"/>
  <c r="K10" i="3" l="1"/>
  <c r="J21" i="3"/>
  <c r="J30" i="15" s="1"/>
  <c r="D15" i="13"/>
  <c r="G15" i="13"/>
  <c r="C16" i="13" s="1"/>
  <c r="U10" i="3"/>
  <c r="T21" i="3"/>
  <c r="K12" i="3" l="1"/>
  <c r="K19" i="3"/>
  <c r="K28" i="15" s="1"/>
  <c r="D16" i="13"/>
  <c r="G16" i="13"/>
  <c r="C17" i="13" s="1"/>
  <c r="U11" i="3"/>
  <c r="U19" i="3"/>
  <c r="L10" i="3" l="1"/>
  <c r="K21" i="3"/>
  <c r="K30" i="15" s="1"/>
  <c r="D17" i="13"/>
  <c r="G17" i="13"/>
  <c r="C18" i="13" s="1"/>
  <c r="U12" i="3"/>
  <c r="U20" i="3"/>
  <c r="G7" i="14" s="1"/>
  <c r="L12" i="3" l="1"/>
  <c r="L21" i="3" s="1"/>
  <c r="L30" i="15" s="1"/>
  <c r="L19" i="3"/>
  <c r="L28" i="15" s="1"/>
  <c r="D18" i="13"/>
  <c r="G18" i="13"/>
  <c r="C19" i="13" s="1"/>
  <c r="V10" i="3"/>
  <c r="U21" i="3"/>
  <c r="D19" i="13" l="1"/>
  <c r="H19" i="13" s="1"/>
  <c r="G19" i="13"/>
  <c r="B7" i="24" s="1"/>
  <c r="C4" i="24" s="1"/>
  <c r="V11" i="3"/>
  <c r="V19" i="3"/>
  <c r="B5" i="24" l="1"/>
  <c r="C20" i="13"/>
  <c r="V12" i="3"/>
  <c r="V20" i="3"/>
  <c r="H7" i="14" s="1"/>
  <c r="V21" i="3" l="1"/>
  <c r="W10" i="3"/>
  <c r="E20" i="13"/>
  <c r="D20" i="13"/>
  <c r="W11" i="3" l="1"/>
  <c r="W19" i="3"/>
  <c r="F20" i="13"/>
  <c r="G20" i="13"/>
  <c r="C21" i="13" s="1"/>
  <c r="E84" i="13"/>
  <c r="E70" i="13"/>
  <c r="E54" i="13"/>
  <c r="E36" i="13"/>
  <c r="E22" i="13"/>
  <c r="E79" i="13"/>
  <c r="E61" i="13"/>
  <c r="E47" i="13"/>
  <c r="E31" i="13"/>
  <c r="E86" i="13"/>
  <c r="E68" i="13"/>
  <c r="E52" i="13"/>
  <c r="E38" i="13"/>
  <c r="E91" i="13"/>
  <c r="E73" i="13"/>
  <c r="E59" i="13"/>
  <c r="E43" i="13"/>
  <c r="E25" i="13"/>
  <c r="E88" i="13"/>
  <c r="E74" i="13"/>
  <c r="E56" i="13"/>
  <c r="E40" i="13"/>
  <c r="E26" i="13"/>
  <c r="E81" i="13"/>
  <c r="E65" i="13"/>
  <c r="E51" i="13"/>
  <c r="E33" i="13"/>
  <c r="E90" i="13"/>
  <c r="E72" i="13"/>
  <c r="E58" i="13"/>
  <c r="E42" i="13"/>
  <c r="E24" i="13"/>
  <c r="E77" i="13"/>
  <c r="E63" i="13"/>
  <c r="E45" i="13"/>
  <c r="E29" i="13"/>
  <c r="E78" i="13"/>
  <c r="E60" i="13"/>
  <c r="E46" i="13"/>
  <c r="E30" i="13"/>
  <c r="E85" i="13"/>
  <c r="E71" i="13"/>
  <c r="E55" i="13"/>
  <c r="E37" i="13"/>
  <c r="E23" i="13"/>
  <c r="E76" i="13"/>
  <c r="E62" i="13"/>
  <c r="E44" i="13"/>
  <c r="E28" i="13"/>
  <c r="E83" i="13"/>
  <c r="E67" i="13"/>
  <c r="E49" i="13"/>
  <c r="E35" i="13"/>
  <c r="E80" i="13"/>
  <c r="E64" i="13"/>
  <c r="E50" i="13"/>
  <c r="E32" i="13"/>
  <c r="E89" i="13"/>
  <c r="E75" i="13"/>
  <c r="E57" i="13"/>
  <c r="E41" i="13"/>
  <c r="E27" i="13"/>
  <c r="E82" i="13"/>
  <c r="E66" i="13"/>
  <c r="E48" i="13"/>
  <c r="E34" i="13"/>
  <c r="E87" i="13"/>
  <c r="E69" i="13"/>
  <c r="E53" i="13"/>
  <c r="E39" i="13"/>
  <c r="E21" i="13"/>
  <c r="W12" i="3" l="1"/>
  <c r="W20" i="3"/>
  <c r="I7" i="14" s="1"/>
  <c r="I91" i="13"/>
  <c r="I43" i="13"/>
  <c r="I31" i="13"/>
  <c r="D21" i="13"/>
  <c r="G21" i="13"/>
  <c r="C22" i="13" s="1"/>
  <c r="I55" i="13"/>
  <c r="I67" i="13"/>
  <c r="I79" i="13"/>
  <c r="X10" i="3" l="1"/>
  <c r="W21" i="3"/>
  <c r="H6" i="24"/>
  <c r="G6" i="24"/>
  <c r="E6" i="24"/>
  <c r="D6" i="24"/>
  <c r="F6" i="24"/>
  <c r="C6" i="24"/>
  <c r="C7" i="24" s="1"/>
  <c r="F21" i="13"/>
  <c r="D22" i="13"/>
  <c r="F22" i="13" s="1"/>
  <c r="G22" i="13"/>
  <c r="C23" i="13" s="1"/>
  <c r="X11" i="3" l="1"/>
  <c r="X19" i="3"/>
  <c r="C20" i="15"/>
  <c r="B7" i="33" s="1"/>
  <c r="D4" i="24"/>
  <c r="D7" i="24" s="1"/>
  <c r="G23" i="13"/>
  <c r="C24" i="13" s="1"/>
  <c r="D23" i="13"/>
  <c r="F23" i="13" s="1"/>
  <c r="X12" i="3" l="1"/>
  <c r="X20" i="3"/>
  <c r="J7" i="14" s="1"/>
  <c r="B9" i="33"/>
  <c r="B23" i="33"/>
  <c r="B25" i="33" s="1"/>
  <c r="D25" i="16"/>
  <c r="E4" i="24"/>
  <c r="E7" i="24" s="1"/>
  <c r="D20" i="15"/>
  <c r="D24" i="13"/>
  <c r="G24" i="13"/>
  <c r="C25" i="13" s="1"/>
  <c r="Y10" i="3" l="1"/>
  <c r="X21" i="3"/>
  <c r="E25" i="16"/>
  <c r="C7" i="33"/>
  <c r="F4" i="24"/>
  <c r="F7" i="24" s="1"/>
  <c r="E20" i="15"/>
  <c r="F24" i="13"/>
  <c r="D25" i="13"/>
  <c r="F25" i="13" s="1"/>
  <c r="G25" i="13"/>
  <c r="C26" i="13" s="1"/>
  <c r="Y11" i="3" l="1"/>
  <c r="Y20" i="3" s="1"/>
  <c r="K7" i="14" s="1"/>
  <c r="Y19" i="3"/>
  <c r="F25" i="16"/>
  <c r="D7" i="33"/>
  <c r="C23" i="33"/>
  <c r="C25" i="33" s="1"/>
  <c r="C9" i="33"/>
  <c r="G4" i="24"/>
  <c r="G7" i="24" s="1"/>
  <c r="F20" i="15"/>
  <c r="D26" i="13"/>
  <c r="F26" i="13" s="1"/>
  <c r="G26" i="13"/>
  <c r="C27" i="13" s="1"/>
  <c r="Y12" i="3" l="1"/>
  <c r="Y21" i="3" s="1"/>
  <c r="G25" i="16"/>
  <c r="E7" i="33"/>
  <c r="D9" i="33"/>
  <c r="D23" i="33"/>
  <c r="D25" i="33" s="1"/>
  <c r="H4" i="24"/>
  <c r="G20" i="15"/>
  <c r="G27" i="13"/>
  <c r="C28" i="13" s="1"/>
  <c r="D27" i="13"/>
  <c r="F27" i="13" s="1"/>
  <c r="H25" i="16" l="1"/>
  <c r="F7" i="33"/>
  <c r="E23" i="33"/>
  <c r="E25" i="33" s="1"/>
  <c r="E9" i="33"/>
  <c r="I7" i="24"/>
  <c r="I20" i="15" s="1"/>
  <c r="K25" i="16" s="1"/>
  <c r="H20" i="15"/>
  <c r="D28" i="13"/>
  <c r="F28" i="13" s="1"/>
  <c r="G28" i="13"/>
  <c r="C29" i="13" s="1"/>
  <c r="I25" i="16" l="1"/>
  <c r="G7" i="33"/>
  <c r="F9" i="33"/>
  <c r="F23" i="33"/>
  <c r="F25" i="33" s="1"/>
  <c r="J25" i="16"/>
  <c r="D29" i="13"/>
  <c r="F29" i="13" s="1"/>
  <c r="G29" i="13"/>
  <c r="C30" i="13" s="1"/>
  <c r="G9" i="33" l="1"/>
  <c r="G23" i="33"/>
  <c r="G25" i="33" s="1"/>
  <c r="D30" i="13"/>
  <c r="F30" i="13" s="1"/>
  <c r="G30" i="13"/>
  <c r="C31" i="13" s="1"/>
  <c r="G31" i="13" l="1"/>
  <c r="D31" i="13"/>
  <c r="C32" i="13" l="1"/>
  <c r="F31" i="13"/>
  <c r="H31" i="13"/>
  <c r="C5" i="24" l="1"/>
  <c r="B10" i="31" s="1"/>
  <c r="D32" i="13"/>
  <c r="G32" i="13"/>
  <c r="C33" i="13" s="1"/>
  <c r="B30" i="12" l="1"/>
  <c r="B56" i="17"/>
  <c r="F32" i="13"/>
  <c r="G33" i="13"/>
  <c r="C34" i="13" s="1"/>
  <c r="D33" i="13"/>
  <c r="F33" i="13" s="1"/>
  <c r="D26" i="16" l="1"/>
  <c r="B7" i="31"/>
  <c r="B9" i="31" s="1"/>
  <c r="B37" i="17"/>
  <c r="B52" i="17"/>
  <c r="D34" i="13"/>
  <c r="F34" i="13" s="1"/>
  <c r="G34" i="13"/>
  <c r="C35" i="13" s="1"/>
  <c r="D35" i="13" l="1"/>
  <c r="G35" i="13"/>
  <c r="C36" i="13" s="1"/>
  <c r="F35" i="13" l="1"/>
  <c r="D36" i="13"/>
  <c r="F36" i="13" s="1"/>
  <c r="G36" i="13"/>
  <c r="C37" i="13" s="1"/>
  <c r="G37" i="13" l="1"/>
  <c r="C38" i="13" s="1"/>
  <c r="D37" i="13"/>
  <c r="F37" i="13" s="1"/>
  <c r="D38" i="13" l="1"/>
  <c r="G38" i="13"/>
  <c r="C39" i="13" s="1"/>
  <c r="F38" i="13" l="1"/>
  <c r="D39" i="13"/>
  <c r="F39" i="13" s="1"/>
  <c r="G39" i="13"/>
  <c r="C40" i="13" s="1"/>
  <c r="D40" i="13" l="1"/>
  <c r="F40" i="13" s="1"/>
  <c r="G40" i="13"/>
  <c r="C41" i="13" s="1"/>
  <c r="G41" i="13" l="1"/>
  <c r="C42" i="13" s="1"/>
  <c r="D41" i="13"/>
  <c r="F41" i="13" s="1"/>
  <c r="D42" i="13" l="1"/>
  <c r="F42" i="13" s="1"/>
  <c r="G42" i="13"/>
  <c r="C43" i="13" s="1"/>
  <c r="D43" i="13" l="1"/>
  <c r="G43" i="13"/>
  <c r="F43" i="13" l="1"/>
  <c r="H43" i="13"/>
  <c r="C44" i="13"/>
  <c r="D5" i="24" l="1"/>
  <c r="C10" i="31" s="1"/>
  <c r="D44" i="13"/>
  <c r="G44" i="13"/>
  <c r="C45" i="13" s="1"/>
  <c r="C30" i="12" l="1"/>
  <c r="C56" i="17"/>
  <c r="F44" i="13"/>
  <c r="D45" i="13"/>
  <c r="F45" i="13" s="1"/>
  <c r="G45" i="13"/>
  <c r="C46" i="13" s="1"/>
  <c r="E26" i="16" l="1"/>
  <c r="C7" i="31"/>
  <c r="C9" i="31" s="1"/>
  <c r="C52" i="17"/>
  <c r="C37" i="17"/>
  <c r="D46" i="13"/>
  <c r="F46" i="13" s="1"/>
  <c r="G46" i="13"/>
  <c r="C47" i="13" s="1"/>
  <c r="G47" i="13" l="1"/>
  <c r="C48" i="13" s="1"/>
  <c r="D47" i="13"/>
  <c r="D48" i="13" l="1"/>
  <c r="F48" i="13" s="1"/>
  <c r="G48" i="13"/>
  <c r="C49" i="13" s="1"/>
  <c r="F47" i="13"/>
  <c r="D49" i="13" l="1"/>
  <c r="F49" i="13" s="1"/>
  <c r="G49" i="13"/>
  <c r="C50" i="13" s="1"/>
  <c r="D50" i="13" l="1"/>
  <c r="G50" i="13"/>
  <c r="C51" i="13" s="1"/>
  <c r="G51" i="13" l="1"/>
  <c r="C52" i="13" s="1"/>
  <c r="D51" i="13"/>
  <c r="F51" i="13" s="1"/>
  <c r="F50" i="13"/>
  <c r="D52" i="13" l="1"/>
  <c r="F52" i="13" s="1"/>
  <c r="G52" i="13"/>
  <c r="C53" i="13" s="1"/>
  <c r="D53" i="13" l="1"/>
  <c r="F53" i="13" s="1"/>
  <c r="G53" i="13"/>
  <c r="C54" i="13" s="1"/>
  <c r="D54" i="13" l="1"/>
  <c r="F54" i="13" s="1"/>
  <c r="G54" i="13"/>
  <c r="C55" i="13" s="1"/>
  <c r="G55" i="13" l="1"/>
  <c r="D55" i="13"/>
  <c r="F55" i="13" l="1"/>
  <c r="H55" i="13"/>
  <c r="C56" i="13"/>
  <c r="E5" i="24" l="1"/>
  <c r="D10" i="31" s="1"/>
  <c r="D56" i="13"/>
  <c r="G56" i="13"/>
  <c r="C57" i="13" s="1"/>
  <c r="D30" i="12" l="1"/>
  <c r="D56" i="17"/>
  <c r="F56" i="13"/>
  <c r="G57" i="13"/>
  <c r="C58" i="13" s="1"/>
  <c r="D57" i="13"/>
  <c r="F57" i="13" s="1"/>
  <c r="F26" i="16" l="1"/>
  <c r="D7" i="31"/>
  <c r="D9" i="31" s="1"/>
  <c r="D52" i="17"/>
  <c r="D37" i="17"/>
  <c r="D58" i="13"/>
  <c r="G58" i="13"/>
  <c r="C59" i="13" s="1"/>
  <c r="F58" i="13" l="1"/>
  <c r="D59" i="13"/>
  <c r="F59" i="13" s="1"/>
  <c r="G59" i="13"/>
  <c r="C60" i="13" s="1"/>
  <c r="D60" i="13" l="1"/>
  <c r="F60" i="13" s="1"/>
  <c r="G60" i="13"/>
  <c r="C61" i="13" s="1"/>
  <c r="G61" i="13" l="1"/>
  <c r="C62" i="13" s="1"/>
  <c r="D61" i="13"/>
  <c r="F61" i="13" s="1"/>
  <c r="D62" i="13" l="1"/>
  <c r="G62" i="13"/>
  <c r="C63" i="13" s="1"/>
  <c r="F62" i="13" l="1"/>
  <c r="D63" i="13"/>
  <c r="F63" i="13" s="1"/>
  <c r="G63" i="13"/>
  <c r="C64" i="13" s="1"/>
  <c r="D64" i="13" l="1"/>
  <c r="F64" i="13" s="1"/>
  <c r="G64" i="13"/>
  <c r="C65" i="13" s="1"/>
  <c r="G65" i="13" l="1"/>
  <c r="C66" i="13" s="1"/>
  <c r="D65" i="13"/>
  <c r="F65" i="13" s="1"/>
  <c r="D66" i="13" l="1"/>
  <c r="F66" i="13" s="1"/>
  <c r="G66" i="13"/>
  <c r="C67" i="13" s="1"/>
  <c r="D67" i="13" l="1"/>
  <c r="G67" i="13"/>
  <c r="F67" i="13" l="1"/>
  <c r="H67" i="13"/>
  <c r="C68" i="13"/>
  <c r="F5" i="24" l="1"/>
  <c r="E10" i="31" s="1"/>
  <c r="D68" i="13"/>
  <c r="G68" i="13"/>
  <c r="C69" i="13" s="1"/>
  <c r="E30" i="12" l="1"/>
  <c r="E56" i="17"/>
  <c r="F68" i="13"/>
  <c r="D69" i="13"/>
  <c r="F69" i="13" s="1"/>
  <c r="G69" i="13"/>
  <c r="C70" i="13" s="1"/>
  <c r="G26" i="16" l="1"/>
  <c r="E7" i="31"/>
  <c r="E9" i="31" s="1"/>
  <c r="E37" i="17"/>
  <c r="E52" i="17"/>
  <c r="D70" i="13"/>
  <c r="F70" i="13" s="1"/>
  <c r="G70" i="13"/>
  <c r="C71" i="13" s="1"/>
  <c r="G71" i="13" l="1"/>
  <c r="C72" i="13" s="1"/>
  <c r="D71" i="13"/>
  <c r="F71" i="13" s="1"/>
  <c r="D72" i="13" l="1"/>
  <c r="F72" i="13" s="1"/>
  <c r="G72" i="13"/>
  <c r="C73" i="13" s="1"/>
  <c r="D73" i="13" l="1"/>
  <c r="G73" i="13"/>
  <c r="C74" i="13" s="1"/>
  <c r="F73" i="13" l="1"/>
  <c r="D74" i="13"/>
  <c r="F74" i="13" s="1"/>
  <c r="G74" i="13"/>
  <c r="C75" i="13" s="1"/>
  <c r="G75" i="13" l="1"/>
  <c r="C76" i="13" s="1"/>
  <c r="D75" i="13"/>
  <c r="F75" i="13" s="1"/>
  <c r="D76" i="13" l="1"/>
  <c r="F76" i="13" s="1"/>
  <c r="G76" i="13"/>
  <c r="C77" i="13" s="1"/>
  <c r="D77" i="13" l="1"/>
  <c r="F77" i="13" s="1"/>
  <c r="G77" i="13"/>
  <c r="C78" i="13" s="1"/>
  <c r="D78" i="13" l="1"/>
  <c r="F78" i="13" s="1"/>
  <c r="G78" i="13"/>
  <c r="C79" i="13" s="1"/>
  <c r="G79" i="13" l="1"/>
  <c r="D79" i="13"/>
  <c r="C80" i="13" l="1"/>
  <c r="F79" i="13"/>
  <c r="H79" i="13"/>
  <c r="G5" i="24" l="1"/>
  <c r="F10" i="31" s="1"/>
  <c r="D80" i="13"/>
  <c r="G80" i="13"/>
  <c r="C81" i="13" s="1"/>
  <c r="F30" i="12" l="1"/>
  <c r="F56" i="17"/>
  <c r="F80" i="13"/>
  <c r="G81" i="13"/>
  <c r="C82" i="13" s="1"/>
  <c r="D81" i="13"/>
  <c r="F81" i="13" s="1"/>
  <c r="H26" i="16" l="1"/>
  <c r="F7" i="31"/>
  <c r="F9" i="31" s="1"/>
  <c r="F37" i="17"/>
  <c r="F52" i="17"/>
  <c r="D82" i="13"/>
  <c r="G82" i="13"/>
  <c r="C83" i="13" s="1"/>
  <c r="F82" i="13" l="1"/>
  <c r="D83" i="13"/>
  <c r="F83" i="13" s="1"/>
  <c r="G83" i="13"/>
  <c r="C84" i="13" s="1"/>
  <c r="G84" i="13" l="1"/>
  <c r="C85" i="13" s="1"/>
  <c r="D84" i="13"/>
  <c r="F84" i="13" s="1"/>
  <c r="G85" i="13" l="1"/>
  <c r="C86" i="13" s="1"/>
  <c r="D85" i="13"/>
  <c r="G86" i="13" l="1"/>
  <c r="C87" i="13" s="1"/>
  <c r="D86" i="13"/>
  <c r="F86" i="13" s="1"/>
  <c r="F85" i="13"/>
  <c r="D87" i="13" l="1"/>
  <c r="G87" i="13"/>
  <c r="C88" i="13" s="1"/>
  <c r="F87" i="13" l="1"/>
  <c r="D88" i="13"/>
  <c r="F88" i="13" s="1"/>
  <c r="G88" i="13"/>
  <c r="C89" i="13" s="1"/>
  <c r="G89" i="13" l="1"/>
  <c r="C90" i="13" s="1"/>
  <c r="D89" i="13"/>
  <c r="F89" i="13" s="1"/>
  <c r="G90" i="13" l="1"/>
  <c r="C91" i="13" s="1"/>
  <c r="D90" i="13"/>
  <c r="F90" i="13" s="1"/>
  <c r="D91" i="13" l="1"/>
  <c r="G91" i="13"/>
  <c r="F91" i="13" l="1"/>
  <c r="H91" i="13"/>
  <c r="H5" i="24" l="1"/>
  <c r="G10" i="31" s="1"/>
  <c r="H37" i="17"/>
  <c r="H52" i="17"/>
  <c r="G30" i="12" l="1"/>
  <c r="G56" i="17"/>
  <c r="I26" i="16" l="1"/>
  <c r="G7" i="31"/>
  <c r="G9" i="31" s="1"/>
  <c r="G37" i="17"/>
  <c r="G52" i="17"/>
  <c r="B23" i="9" l="1"/>
  <c r="C45" i="10" l="1"/>
  <c r="C23" i="9"/>
  <c r="C39" i="10"/>
  <c r="C52" i="10" l="1"/>
  <c r="B25" i="12" s="1"/>
  <c r="C22" i="15" s="1"/>
  <c r="D45" i="10"/>
  <c r="D39" i="10"/>
  <c r="D23" i="9"/>
  <c r="B29" i="12" l="1"/>
  <c r="B6" i="35" s="1"/>
  <c r="B26" i="36"/>
  <c r="B27" i="36" s="1"/>
  <c r="B28" i="36" s="1"/>
  <c r="B4" i="35"/>
  <c r="B5" i="35" s="1"/>
  <c r="D22" i="16"/>
  <c r="B54" i="36"/>
  <c r="B55" i="36" s="1"/>
  <c r="B56" i="36" s="1"/>
  <c r="B4" i="23"/>
  <c r="B8" i="23" s="1"/>
  <c r="B12" i="23" s="1"/>
  <c r="B14" i="23" s="1"/>
  <c r="B16" i="23" s="1"/>
  <c r="B12" i="36"/>
  <c r="B13" i="36" s="1"/>
  <c r="B14" i="36" s="1"/>
  <c r="B40" i="36"/>
  <c r="B41" i="36" s="1"/>
  <c r="B42" i="36" s="1"/>
  <c r="E45" i="10"/>
  <c r="E39" i="10"/>
  <c r="E23" i="9"/>
  <c r="D10" i="16"/>
  <c r="C6" i="11"/>
  <c r="D52" i="10"/>
  <c r="C25" i="12" s="1"/>
  <c r="D22" i="15" s="1"/>
  <c r="C54" i="36" l="1"/>
  <c r="C55" i="36" s="1"/>
  <c r="C56" i="36" s="1"/>
  <c r="C40" i="36"/>
  <c r="C41" i="36" s="1"/>
  <c r="C42" i="36" s="1"/>
  <c r="C26" i="36"/>
  <c r="C27" i="36" s="1"/>
  <c r="C28" i="36" s="1"/>
  <c r="F45" i="10"/>
  <c r="F39" i="10"/>
  <c r="F23" i="9"/>
  <c r="C8" i="11"/>
  <c r="C11" i="11"/>
  <c r="C13" i="11" s="1"/>
  <c r="C4" i="23"/>
  <c r="C8" i="23" s="1"/>
  <c r="C12" i="23" s="1"/>
  <c r="E22" i="16"/>
  <c r="C4" i="35"/>
  <c r="C5" i="35" s="1"/>
  <c r="C12" i="36"/>
  <c r="C13" i="36" s="1"/>
  <c r="C14" i="36" s="1"/>
  <c r="C29" i="12"/>
  <c r="E52" i="10"/>
  <c r="D25" i="12" s="1"/>
  <c r="E22" i="15" s="1"/>
  <c r="F52" i="10" l="1"/>
  <c r="E25" i="12" s="1"/>
  <c r="F22" i="15" s="1"/>
  <c r="D54" i="36"/>
  <c r="D55" i="36" s="1"/>
  <c r="D56" i="36" s="1"/>
  <c r="D40" i="36"/>
  <c r="D41" i="36" s="1"/>
  <c r="D42" i="36" s="1"/>
  <c r="D26" i="36"/>
  <c r="D27" i="36" s="1"/>
  <c r="D28" i="36" s="1"/>
  <c r="G45" i="10"/>
  <c r="G23" i="9"/>
  <c r="G39" i="10"/>
  <c r="C6" i="35"/>
  <c r="E10" i="16"/>
  <c r="D6" i="11"/>
  <c r="C14" i="23"/>
  <c r="C16" i="23" s="1"/>
  <c r="D12" i="36"/>
  <c r="D13" i="36" s="1"/>
  <c r="D14" i="36" s="1"/>
  <c r="D4" i="23"/>
  <c r="D8" i="23" s="1"/>
  <c r="D12" i="23" s="1"/>
  <c r="D4" i="35"/>
  <c r="D5" i="35" s="1"/>
  <c r="F22" i="16"/>
  <c r="D29" i="12"/>
  <c r="E4" i="23" l="1"/>
  <c r="E8" i="23" s="1"/>
  <c r="E12" i="23" s="1"/>
  <c r="E14" i="23" s="1"/>
  <c r="E16" i="23" s="1"/>
  <c r="G22" i="16"/>
  <c r="E29" i="12"/>
  <c r="E6" i="35" s="1"/>
  <c r="E4" i="35"/>
  <c r="E5" i="35" s="1"/>
  <c r="E40" i="36"/>
  <c r="E41" i="36" s="1"/>
  <c r="E42" i="36" s="1"/>
  <c r="E54" i="36"/>
  <c r="E55" i="36" s="1"/>
  <c r="E56" i="36" s="1"/>
  <c r="E12" i="36"/>
  <c r="E13" i="36" s="1"/>
  <c r="E14" i="36" s="1"/>
  <c r="E26" i="36"/>
  <c r="E27" i="36" s="1"/>
  <c r="E28" i="36" s="1"/>
  <c r="G52" i="10"/>
  <c r="F25" i="12" s="1"/>
  <c r="G22" i="15" s="1"/>
  <c r="D6" i="35"/>
  <c r="G10" i="16"/>
  <c r="F6" i="11"/>
  <c r="F10" i="16"/>
  <c r="E6" i="11"/>
  <c r="D14" i="23"/>
  <c r="D16" i="23" s="1"/>
  <c r="H45" i="10"/>
  <c r="H39" i="10"/>
  <c r="H23" i="9"/>
  <c r="E15" i="1"/>
  <c r="E17" i="1" s="1"/>
  <c r="B13" i="2"/>
  <c r="D8" i="11"/>
  <c r="D11" i="11"/>
  <c r="D13" i="11" s="1"/>
  <c r="C15" i="11"/>
  <c r="C44" i="20" l="1"/>
  <c r="E13" i="2"/>
  <c r="E15" i="2" s="1"/>
  <c r="B20" i="2" s="1"/>
  <c r="F4" i="35"/>
  <c r="F5" i="35" s="1"/>
  <c r="F29" i="12"/>
  <c r="F6" i="35" s="1"/>
  <c r="F4" i="23"/>
  <c r="F8" i="23" s="1"/>
  <c r="F12" i="23" s="1"/>
  <c r="F14" i="23" s="1"/>
  <c r="F16" i="23" s="1"/>
  <c r="F54" i="36"/>
  <c r="F55" i="36" s="1"/>
  <c r="F56" i="36" s="1"/>
  <c r="H52" i="10"/>
  <c r="G25" i="12" s="1"/>
  <c r="H22" i="15" s="1"/>
  <c r="H22" i="16"/>
  <c r="F26" i="36"/>
  <c r="F27" i="36" s="1"/>
  <c r="F28" i="36" s="1"/>
  <c r="F12" i="36"/>
  <c r="F13" i="36" s="1"/>
  <c r="F14" i="36" s="1"/>
  <c r="F40" i="36"/>
  <c r="F41" i="36" s="1"/>
  <c r="F42" i="36" s="1"/>
  <c r="D15" i="11"/>
  <c r="E8" i="11"/>
  <c r="E11" i="11"/>
  <c r="E13" i="11" s="1"/>
  <c r="F8" i="11"/>
  <c r="F11" i="11"/>
  <c r="F13" i="11" s="1"/>
  <c r="C21" i="15"/>
  <c r="D8" i="16" s="1"/>
  <c r="D12" i="16" s="1"/>
  <c r="B31" i="12"/>
  <c r="B15" i="2"/>
  <c r="I45" i="10"/>
  <c r="I39" i="10"/>
  <c r="I23" i="9"/>
  <c r="H10" i="16"/>
  <c r="G6" i="11"/>
  <c r="I22" i="16" l="1"/>
  <c r="G12" i="36"/>
  <c r="G13" i="36" s="1"/>
  <c r="G14" i="36" s="1"/>
  <c r="G40" i="36"/>
  <c r="G41" i="36" s="1"/>
  <c r="G42" i="36" s="1"/>
  <c r="G29" i="12"/>
  <c r="G6" i="35" s="1"/>
  <c r="G4" i="35"/>
  <c r="G5" i="35" s="1"/>
  <c r="G54" i="36"/>
  <c r="G55" i="36" s="1"/>
  <c r="G56" i="36" s="1"/>
  <c r="G4" i="23"/>
  <c r="G8" i="23" s="1"/>
  <c r="G12" i="23" s="1"/>
  <c r="G14" i="23" s="1"/>
  <c r="G16" i="23" s="1"/>
  <c r="G26" i="36"/>
  <c r="G27" i="36" s="1"/>
  <c r="G28" i="36" s="1"/>
  <c r="I52" i="10"/>
  <c r="H25" i="12" s="1"/>
  <c r="I22" i="15" s="1"/>
  <c r="C13" i="2"/>
  <c r="C15" i="2"/>
  <c r="D27" i="16"/>
  <c r="B38" i="17"/>
  <c r="B34" i="12"/>
  <c r="C31" i="12"/>
  <c r="D21" i="15"/>
  <c r="E8" i="16" s="1"/>
  <c r="E12" i="16" s="1"/>
  <c r="J45" i="10"/>
  <c r="J23" i="9"/>
  <c r="J39" i="10"/>
  <c r="G8" i="11"/>
  <c r="G11" i="11"/>
  <c r="G13" i="11" s="1"/>
  <c r="C9" i="2"/>
  <c r="C8" i="2"/>
  <c r="C6" i="2"/>
  <c r="C12" i="2"/>
  <c r="C10" i="2"/>
  <c r="B16" i="29"/>
  <c r="C7" i="2"/>
  <c r="C11" i="2"/>
  <c r="B23" i="2"/>
  <c r="C5" i="2"/>
  <c r="B19" i="30"/>
  <c r="B20" i="17"/>
  <c r="F15" i="11"/>
  <c r="E15" i="11"/>
  <c r="I10" i="16"/>
  <c r="H6" i="11"/>
  <c r="H4" i="23" l="1"/>
  <c r="H8" i="23" s="1"/>
  <c r="H12" i="23" s="1"/>
  <c r="H14" i="23" s="1"/>
  <c r="H16" i="23" s="1"/>
  <c r="J22" i="16"/>
  <c r="H40" i="36"/>
  <c r="H41" i="36" s="1"/>
  <c r="H42" i="36" s="1"/>
  <c r="H29" i="12"/>
  <c r="H54" i="36"/>
  <c r="H55" i="36" s="1"/>
  <c r="H56" i="36" s="1"/>
  <c r="H12" i="36"/>
  <c r="H13" i="36" s="1"/>
  <c r="H14" i="36" s="1"/>
  <c r="H26" i="36"/>
  <c r="H27" i="36" s="1"/>
  <c r="H28" i="36" s="1"/>
  <c r="B30" i="17"/>
  <c r="D31" i="12"/>
  <c r="E21" i="15"/>
  <c r="F8" i="16" s="1"/>
  <c r="F12" i="16" s="1"/>
  <c r="E31" i="12"/>
  <c r="F21" i="15"/>
  <c r="J52" i="10"/>
  <c r="I25" i="12" s="1"/>
  <c r="J22" i="15" s="1"/>
  <c r="E27" i="16"/>
  <c r="C38" i="17"/>
  <c r="C34" i="12"/>
  <c r="C20" i="2"/>
  <c r="B13" i="15"/>
  <c r="C23" i="2"/>
  <c r="B13" i="34"/>
  <c r="O16" i="34" s="1"/>
  <c r="B26" i="29"/>
  <c r="B23" i="30"/>
  <c r="C21" i="2"/>
  <c r="B9" i="34"/>
  <c r="M16" i="34" s="1"/>
  <c r="J10" i="16"/>
  <c r="I6" i="11"/>
  <c r="H8" i="11"/>
  <c r="H11" i="11"/>
  <c r="H13" i="11" s="1"/>
  <c r="B19" i="2"/>
  <c r="G15" i="11"/>
  <c r="B20" i="28"/>
  <c r="A24" i="28" s="1"/>
  <c r="K45" i="10"/>
  <c r="K39" i="10"/>
  <c r="K23" i="9"/>
  <c r="B7" i="35"/>
  <c r="B5" i="14"/>
  <c r="B9" i="14" s="1"/>
  <c r="K52" i="10" l="1"/>
  <c r="J25" i="12" s="1"/>
  <c r="K22" i="15" s="1"/>
  <c r="B11" i="14"/>
  <c r="C10" i="14" s="1"/>
  <c r="I26" i="36"/>
  <c r="I27" i="36" s="1"/>
  <c r="I28" i="36" s="1"/>
  <c r="I54" i="36"/>
  <c r="I55" i="36" s="1"/>
  <c r="I56" i="36" s="1"/>
  <c r="I40" i="36"/>
  <c r="I41" i="36" s="1"/>
  <c r="I42" i="36" s="1"/>
  <c r="C30" i="17"/>
  <c r="G8" i="16"/>
  <c r="G12" i="16" s="1"/>
  <c r="I8" i="11"/>
  <c r="I11" i="11"/>
  <c r="I13" i="11" s="1"/>
  <c r="I12" i="36"/>
  <c r="I13" i="36" s="1"/>
  <c r="I14" i="36" s="1"/>
  <c r="K22" i="16"/>
  <c r="I29" i="12"/>
  <c r="E38" i="17"/>
  <c r="G27" i="16"/>
  <c r="E34" i="12"/>
  <c r="C19" i="2"/>
  <c r="B7" i="15"/>
  <c r="C7" i="15"/>
  <c r="C9" i="16"/>
  <c r="C13" i="15"/>
  <c r="C5" i="14"/>
  <c r="C9" i="14" s="1"/>
  <c r="C7" i="35"/>
  <c r="L45" i="10"/>
  <c r="L39" i="10"/>
  <c r="H15" i="11"/>
  <c r="F31" i="12"/>
  <c r="G21" i="15"/>
  <c r="H8" i="16" s="1"/>
  <c r="H12" i="16" s="1"/>
  <c r="F27" i="16"/>
  <c r="D38" i="17"/>
  <c r="D34" i="12"/>
  <c r="J12" i="36" l="1"/>
  <c r="J13" i="36" s="1"/>
  <c r="J14" i="36" s="1"/>
  <c r="L22" i="16"/>
  <c r="J40" i="36"/>
  <c r="J41" i="36" s="1"/>
  <c r="J42" i="36" s="1"/>
  <c r="J54" i="36"/>
  <c r="J55" i="36" s="1"/>
  <c r="J56" i="36" s="1"/>
  <c r="J29" i="12"/>
  <c r="J26" i="36"/>
  <c r="J27" i="36" s="1"/>
  <c r="J28" i="36" s="1"/>
  <c r="B12" i="14"/>
  <c r="C11" i="14"/>
  <c r="D10" i="14" s="1"/>
  <c r="D30" i="17"/>
  <c r="E30" i="17"/>
  <c r="L52" i="10"/>
  <c r="K25" i="12" s="1"/>
  <c r="L22" i="15" s="1"/>
  <c r="B9" i="15"/>
  <c r="B24" i="15" s="1"/>
  <c r="C7" i="16"/>
  <c r="C12" i="16" s="1"/>
  <c r="C33" i="16" s="1"/>
  <c r="C35" i="16" s="1"/>
  <c r="E7" i="35"/>
  <c r="E5" i="14"/>
  <c r="E9" i="14" s="1"/>
  <c r="I15" i="11"/>
  <c r="H27" i="16"/>
  <c r="F38" i="17"/>
  <c r="F34" i="12"/>
  <c r="D13" i="15"/>
  <c r="G31" i="12"/>
  <c r="H21" i="15"/>
  <c r="I8" i="16" s="1"/>
  <c r="I12" i="16" s="1"/>
  <c r="D5" i="14"/>
  <c r="D9" i="14" s="1"/>
  <c r="D7" i="35"/>
  <c r="L10" i="16"/>
  <c r="K6" i="11"/>
  <c r="C9" i="15"/>
  <c r="B13" i="33" s="1"/>
  <c r="D7" i="15"/>
  <c r="K10" i="16"/>
  <c r="J6" i="11"/>
  <c r="D11" i="14" l="1"/>
  <c r="E10" i="14" s="1"/>
  <c r="E11" i="14" s="1"/>
  <c r="F10" i="14" s="1"/>
  <c r="C12" i="14"/>
  <c r="C13" i="14" s="1"/>
  <c r="C35" i="12" s="1"/>
  <c r="C36" i="12" s="1"/>
  <c r="C29" i="17" s="1"/>
  <c r="C33" i="17" s="1"/>
  <c r="C42" i="17" s="1"/>
  <c r="B13" i="14"/>
  <c r="B35" i="12" s="1"/>
  <c r="K54" i="36"/>
  <c r="K55" i="36" s="1"/>
  <c r="K56" i="36" s="1"/>
  <c r="K40" i="36"/>
  <c r="K41" i="36" s="1"/>
  <c r="K42" i="36" s="1"/>
  <c r="K26" i="36"/>
  <c r="K27" i="36" s="1"/>
  <c r="K28" i="36" s="1"/>
  <c r="F30" i="17"/>
  <c r="F5" i="14"/>
  <c r="F9" i="14" s="1"/>
  <c r="F7" i="35"/>
  <c r="D34" i="16"/>
  <c r="B47" i="15"/>
  <c r="B29" i="33"/>
  <c r="I27" i="16"/>
  <c r="G38" i="17"/>
  <c r="G34" i="12"/>
  <c r="D9" i="15"/>
  <c r="C13" i="33" s="1"/>
  <c r="E7" i="15"/>
  <c r="J8" i="11"/>
  <c r="J11" i="11"/>
  <c r="J13" i="11" s="1"/>
  <c r="K8" i="11"/>
  <c r="K11" i="11"/>
  <c r="K13" i="11" s="1"/>
  <c r="E13" i="15"/>
  <c r="H31" i="12"/>
  <c r="I21" i="15"/>
  <c r="J8" i="16" s="1"/>
  <c r="J12" i="16" s="1"/>
  <c r="K12" i="36"/>
  <c r="K13" i="36" s="1"/>
  <c r="K14" i="36" s="1"/>
  <c r="M22" i="16"/>
  <c r="K29" i="12"/>
  <c r="F11" i="14" l="1"/>
  <c r="G10" i="14" s="1"/>
  <c r="D12" i="14"/>
  <c r="D13" i="14" s="1"/>
  <c r="D35" i="12" s="1"/>
  <c r="F30" i="16" s="1"/>
  <c r="F32" i="16" s="1"/>
  <c r="F33" i="16" s="1"/>
  <c r="D30" i="16"/>
  <c r="D32" i="16" s="1"/>
  <c r="D33" i="16" s="1"/>
  <c r="D35" i="16" s="1"/>
  <c r="B36" i="12"/>
  <c r="B29" i="17" s="1"/>
  <c r="B33" i="17" s="1"/>
  <c r="B42" i="17" s="1"/>
  <c r="E30" i="16"/>
  <c r="E32" i="16" s="1"/>
  <c r="E33" i="16" s="1"/>
  <c r="E12" i="14"/>
  <c r="C8" i="35"/>
  <c r="C4" i="31"/>
  <c r="C14" i="31" s="1"/>
  <c r="C6" i="30"/>
  <c r="C11" i="30" s="1"/>
  <c r="C15" i="30" s="1"/>
  <c r="C6" i="34"/>
  <c r="C3" i="17"/>
  <c r="C11" i="17" s="1"/>
  <c r="C15" i="17" s="1"/>
  <c r="C5" i="29"/>
  <c r="C10" i="29" s="1"/>
  <c r="C13" i="29" s="1"/>
  <c r="C50" i="17"/>
  <c r="C55" i="17" s="1"/>
  <c r="C58" i="17" s="1"/>
  <c r="D18" i="15"/>
  <c r="E4" i="26"/>
  <c r="E5" i="26" s="1"/>
  <c r="E12" i="26" s="1"/>
  <c r="C12" i="28" s="1"/>
  <c r="C13" i="28" s="1"/>
  <c r="G30" i="17"/>
  <c r="M10" i="16"/>
  <c r="L6" i="11"/>
  <c r="F13" i="15"/>
  <c r="C37" i="16"/>
  <c r="C39" i="16" s="1"/>
  <c r="B50" i="15"/>
  <c r="B52" i="15" s="1"/>
  <c r="H38" i="17"/>
  <c r="J27" i="16"/>
  <c r="H34" i="12"/>
  <c r="K15" i="11"/>
  <c r="E9" i="15"/>
  <c r="D13" i="33" s="1"/>
  <c r="F7" i="15"/>
  <c r="G5" i="14"/>
  <c r="G9" i="14" s="1"/>
  <c r="G7" i="35"/>
  <c r="C29" i="33"/>
  <c r="J15" i="11"/>
  <c r="G11" i="14" l="1"/>
  <c r="H10" i="14" s="1"/>
  <c r="B50" i="17"/>
  <c r="B55" i="17" s="1"/>
  <c r="B58" i="17" s="1"/>
  <c r="B60" i="17" s="1"/>
  <c r="D4" i="26"/>
  <c r="D5" i="26" s="1"/>
  <c r="D12" i="26" s="1"/>
  <c r="B12" i="28" s="1"/>
  <c r="B13" i="28" s="1"/>
  <c r="B6" i="34"/>
  <c r="B5" i="29"/>
  <c r="B10" i="29" s="1"/>
  <c r="B4" i="31"/>
  <c r="B6" i="30"/>
  <c r="B11" i="30" s="1"/>
  <c r="B15" i="30" s="1"/>
  <c r="B41" i="12"/>
  <c r="C41" i="12" s="1"/>
  <c r="B3" i="17"/>
  <c r="B11" i="17" s="1"/>
  <c r="B15" i="17" s="1"/>
  <c r="C18" i="15"/>
  <c r="C19" i="15" s="1"/>
  <c r="B14" i="33" s="1"/>
  <c r="B16" i="33" s="1"/>
  <c r="B18" i="33" s="1"/>
  <c r="B8" i="35"/>
  <c r="C47" i="15"/>
  <c r="C50" i="15" s="1"/>
  <c r="E34" i="16"/>
  <c r="E35" i="16" s="1"/>
  <c r="F34" i="16" s="1"/>
  <c r="F35" i="16" s="1"/>
  <c r="E13" i="14"/>
  <c r="E35" i="12" s="1"/>
  <c r="D13" i="26"/>
  <c r="B9" i="28" s="1"/>
  <c r="B10" i="28" s="1"/>
  <c r="B16" i="28" s="1"/>
  <c r="B18" i="28" s="1"/>
  <c r="D36" i="12"/>
  <c r="D29" i="17" s="1"/>
  <c r="D33" i="17" s="1"/>
  <c r="D42" i="17" s="1"/>
  <c r="F12" i="14"/>
  <c r="E13" i="26"/>
  <c r="C9" i="28" s="1"/>
  <c r="C10" i="28" s="1"/>
  <c r="C16" i="28" s="1"/>
  <c r="C24" i="28" s="1"/>
  <c r="C12" i="31"/>
  <c r="C23" i="29"/>
  <c r="H30" i="17"/>
  <c r="J31" i="12"/>
  <c r="K21" i="15"/>
  <c r="I31" i="12"/>
  <c r="J21" i="15"/>
  <c r="K8" i="16" s="1"/>
  <c r="K12" i="16" s="1"/>
  <c r="F9" i="15"/>
  <c r="E13" i="33" s="1"/>
  <c r="G7" i="15"/>
  <c r="H5" i="14"/>
  <c r="H9" i="14" s="1"/>
  <c r="D29" i="33"/>
  <c r="G13" i="15"/>
  <c r="L8" i="11"/>
  <c r="L11" i="11"/>
  <c r="L13" i="11" s="1"/>
  <c r="H11" i="14" l="1"/>
  <c r="I10" i="14" s="1"/>
  <c r="D47" i="15"/>
  <c r="D50" i="15" s="1"/>
  <c r="C24" i="15"/>
  <c r="C52" i="15" s="1"/>
  <c r="D16" i="15"/>
  <c r="D19" i="15" s="1"/>
  <c r="C30" i="33" s="1"/>
  <c r="C32" i="33" s="1"/>
  <c r="C34" i="33" s="1"/>
  <c r="B12" i="31"/>
  <c r="B16" i="31" s="1"/>
  <c r="B14" i="31"/>
  <c r="B17" i="31" s="1"/>
  <c r="B13" i="29"/>
  <c r="B23" i="29"/>
  <c r="B30" i="33"/>
  <c r="B32" i="33" s="1"/>
  <c r="B34" i="33" s="1"/>
  <c r="D37" i="16"/>
  <c r="D39" i="16" s="1"/>
  <c r="B24" i="28"/>
  <c r="F13" i="14"/>
  <c r="F35" i="12" s="1"/>
  <c r="D6" i="34"/>
  <c r="O18" i="34" s="1"/>
  <c r="O19" i="34" s="1"/>
  <c r="E36" i="12"/>
  <c r="G30" i="16"/>
  <c r="G32" i="16" s="1"/>
  <c r="G33" i="16" s="1"/>
  <c r="D6" i="30"/>
  <c r="D11" i="30" s="1"/>
  <c r="D15" i="30" s="1"/>
  <c r="D4" i="31"/>
  <c r="D14" i="31" s="1"/>
  <c r="E18" i="15"/>
  <c r="D5" i="29"/>
  <c r="D10" i="29" s="1"/>
  <c r="D23" i="29" s="1"/>
  <c r="F4" i="26"/>
  <c r="F5" i="26" s="1"/>
  <c r="F13" i="26" s="1"/>
  <c r="D9" i="28" s="1"/>
  <c r="D10" i="28" s="1"/>
  <c r="D41" i="12"/>
  <c r="D3" i="17"/>
  <c r="D11" i="17" s="1"/>
  <c r="D15" i="17" s="1"/>
  <c r="D8" i="35"/>
  <c r="D50" i="17"/>
  <c r="D55" i="17" s="1"/>
  <c r="D58" i="17" s="1"/>
  <c r="G12" i="14"/>
  <c r="C18" i="28"/>
  <c r="K27" i="16"/>
  <c r="I38" i="17"/>
  <c r="I34" i="12"/>
  <c r="L15" i="11"/>
  <c r="H13" i="15"/>
  <c r="E47" i="15"/>
  <c r="E50" i="15" s="1"/>
  <c r="G34" i="16"/>
  <c r="L8" i="16"/>
  <c r="L12" i="16" s="1"/>
  <c r="G9" i="15"/>
  <c r="F13" i="33" s="1"/>
  <c r="H7" i="15"/>
  <c r="J38" i="17"/>
  <c r="L27" i="16"/>
  <c r="J34" i="12"/>
  <c r="E29" i="33"/>
  <c r="H12" i="14" l="1"/>
  <c r="H13" i="14" s="1"/>
  <c r="H35" i="12" s="1"/>
  <c r="E37" i="16"/>
  <c r="E39" i="16" s="1"/>
  <c r="E16" i="15"/>
  <c r="E19" i="15" s="1"/>
  <c r="E24" i="15" s="1"/>
  <c r="E52" i="15" s="1"/>
  <c r="D24" i="15"/>
  <c r="D52" i="15" s="1"/>
  <c r="C14" i="33"/>
  <c r="C16" i="33" s="1"/>
  <c r="C18" i="33" s="1"/>
  <c r="E41" i="12"/>
  <c r="D13" i="29"/>
  <c r="F36" i="12"/>
  <c r="H30" i="16"/>
  <c r="H32" i="16" s="1"/>
  <c r="H33" i="16" s="1"/>
  <c r="G13" i="14"/>
  <c r="G35" i="12" s="1"/>
  <c r="G35" i="16"/>
  <c r="F47" i="15" s="1"/>
  <c r="F50" i="15" s="1"/>
  <c r="D12" i="31"/>
  <c r="E29" i="17"/>
  <c r="E33" i="17" s="1"/>
  <c r="E42" i="17" s="1"/>
  <c r="E8" i="35"/>
  <c r="G4" i="26"/>
  <c r="G5" i="26" s="1"/>
  <c r="E5" i="29"/>
  <c r="E10" i="29" s="1"/>
  <c r="E6" i="30"/>
  <c r="E11" i="30" s="1"/>
  <c r="E15" i="30" s="1"/>
  <c r="E50" i="17"/>
  <c r="E55" i="17" s="1"/>
  <c r="E58" i="17" s="1"/>
  <c r="F18" i="15"/>
  <c r="E4" i="31"/>
  <c r="E3" i="17"/>
  <c r="E11" i="17" s="1"/>
  <c r="E15" i="17" s="1"/>
  <c r="E6" i="34"/>
  <c r="F12" i="26"/>
  <c r="D12" i="28" s="1"/>
  <c r="D13" i="28" s="1"/>
  <c r="D16" i="28" s="1"/>
  <c r="D18" i="28" s="1"/>
  <c r="I30" i="17"/>
  <c r="J30" i="17"/>
  <c r="I13" i="15"/>
  <c r="J13" i="15" s="1"/>
  <c r="K13" i="15" s="1"/>
  <c r="L13" i="15" s="1"/>
  <c r="J5" i="14"/>
  <c r="J9" i="14" s="1"/>
  <c r="F37" i="16"/>
  <c r="F39" i="16" s="1"/>
  <c r="K31" i="12"/>
  <c r="L21" i="15"/>
  <c r="M8" i="16" s="1"/>
  <c r="M12" i="16" s="1"/>
  <c r="I5" i="14"/>
  <c r="I9" i="14" s="1"/>
  <c r="I11" i="14" s="1"/>
  <c r="J10" i="14" s="1"/>
  <c r="I7" i="15"/>
  <c r="H9" i="15"/>
  <c r="G13" i="33" s="1"/>
  <c r="F29" i="33"/>
  <c r="J11" i="14" l="1"/>
  <c r="K10" i="14" s="1"/>
  <c r="F41" i="12"/>
  <c r="I30" i="16"/>
  <c r="I32" i="16" s="1"/>
  <c r="I33" i="16" s="1"/>
  <c r="G36" i="12"/>
  <c r="G29" i="17" s="1"/>
  <c r="G33" i="17" s="1"/>
  <c r="G42" i="17" s="1"/>
  <c r="H36" i="12"/>
  <c r="H29" i="17" s="1"/>
  <c r="H33" i="17" s="1"/>
  <c r="H42" i="17" s="1"/>
  <c r="J30" i="16"/>
  <c r="J32" i="16" s="1"/>
  <c r="J33" i="16" s="1"/>
  <c r="H4" i="26"/>
  <c r="H5" i="26" s="1"/>
  <c r="F5" i="29"/>
  <c r="F10" i="29" s="1"/>
  <c r="F4" i="31"/>
  <c r="F6" i="30"/>
  <c r="F11" i="30" s="1"/>
  <c r="F15" i="30" s="1"/>
  <c r="F6" i="34"/>
  <c r="F50" i="17"/>
  <c r="F55" i="17" s="1"/>
  <c r="F58" i="17" s="1"/>
  <c r="F29" i="17"/>
  <c r="F33" i="17" s="1"/>
  <c r="F42" i="17" s="1"/>
  <c r="G18" i="15"/>
  <c r="F8" i="35"/>
  <c r="F3" i="17"/>
  <c r="F11" i="17" s="1"/>
  <c r="F15" i="17" s="1"/>
  <c r="H34" i="16"/>
  <c r="H35" i="16" s="1"/>
  <c r="G47" i="15" s="1"/>
  <c r="G50" i="15" s="1"/>
  <c r="F16" i="15"/>
  <c r="F19" i="15" s="1"/>
  <c r="E30" i="33" s="1"/>
  <c r="E32" i="33" s="1"/>
  <c r="E34" i="33" s="1"/>
  <c r="E14" i="31"/>
  <c r="E12" i="31"/>
  <c r="E13" i="29"/>
  <c r="E23" i="29"/>
  <c r="D24" i="28"/>
  <c r="G12" i="26"/>
  <c r="E12" i="28" s="1"/>
  <c r="E13" i="28" s="1"/>
  <c r="G13" i="26"/>
  <c r="E9" i="28" s="1"/>
  <c r="E10" i="28" s="1"/>
  <c r="D30" i="33"/>
  <c r="D32" i="33" s="1"/>
  <c r="D34" i="33" s="1"/>
  <c r="D14" i="33"/>
  <c r="D16" i="33" s="1"/>
  <c r="D18" i="33" s="1"/>
  <c r="G37" i="16"/>
  <c r="G39" i="16" s="1"/>
  <c r="G29" i="33"/>
  <c r="I9" i="15"/>
  <c r="J7" i="15"/>
  <c r="M27" i="16"/>
  <c r="K38" i="17"/>
  <c r="K34" i="12"/>
  <c r="G5" i="29" l="1"/>
  <c r="G10" i="29" s="1"/>
  <c r="G23" i="29" s="1"/>
  <c r="G41" i="12"/>
  <c r="H41" i="12" s="1"/>
  <c r="G6" i="30"/>
  <c r="G11" i="30" s="1"/>
  <c r="G15" i="30" s="1"/>
  <c r="G3" i="17"/>
  <c r="G11" i="17" s="1"/>
  <c r="G15" i="17" s="1"/>
  <c r="I4" i="26"/>
  <c r="I5" i="26" s="1"/>
  <c r="I12" i="26" s="1"/>
  <c r="G12" i="28" s="1"/>
  <c r="G13" i="28" s="1"/>
  <c r="G4" i="31"/>
  <c r="G12" i="31" s="1"/>
  <c r="G8" i="35"/>
  <c r="H18" i="15"/>
  <c r="G50" i="17"/>
  <c r="G55" i="17" s="1"/>
  <c r="G58" i="17" s="1"/>
  <c r="G16" i="15"/>
  <c r="G19" i="15" s="1"/>
  <c r="F14" i="33" s="1"/>
  <c r="F16" i="33" s="1"/>
  <c r="F18" i="33" s="1"/>
  <c r="I18" i="15"/>
  <c r="H4" i="31"/>
  <c r="H3" i="17"/>
  <c r="H11" i="17" s="1"/>
  <c r="H15" i="17" s="1"/>
  <c r="H50" i="17"/>
  <c r="H55" i="17" s="1"/>
  <c r="B26" i="17"/>
  <c r="J4" i="26"/>
  <c r="J5" i="26" s="1"/>
  <c r="J12" i="26" s="1"/>
  <c r="H12" i="28" s="1"/>
  <c r="H13" i="28" s="1"/>
  <c r="H5" i="29"/>
  <c r="H10" i="29" s="1"/>
  <c r="H23" i="29" s="1"/>
  <c r="H6" i="30"/>
  <c r="H11" i="30" s="1"/>
  <c r="H15" i="30" s="1"/>
  <c r="H6" i="34"/>
  <c r="I34" i="16"/>
  <c r="I35" i="16" s="1"/>
  <c r="H47" i="15" s="1"/>
  <c r="H50" i="15" s="1"/>
  <c r="E14" i="33"/>
  <c r="E16" i="33" s="1"/>
  <c r="E18" i="33" s="1"/>
  <c r="F24" i="15"/>
  <c r="F52" i="15" s="1"/>
  <c r="G6" i="34"/>
  <c r="M18" i="34" s="1"/>
  <c r="H13" i="26"/>
  <c r="F9" i="28" s="1"/>
  <c r="F10" i="28" s="1"/>
  <c r="H12" i="26"/>
  <c r="F12" i="28" s="1"/>
  <c r="F13" i="28" s="1"/>
  <c r="F12" i="31"/>
  <c r="F14" i="31"/>
  <c r="F23" i="29"/>
  <c r="F13" i="29"/>
  <c r="E16" i="28"/>
  <c r="E24" i="28" s="1"/>
  <c r="J12" i="14"/>
  <c r="I12" i="14"/>
  <c r="K30" i="17"/>
  <c r="K5" i="14"/>
  <c r="K9" i="14" s="1"/>
  <c r="K11" i="14" s="1"/>
  <c r="J9" i="15"/>
  <c r="K7" i="15"/>
  <c r="H37" i="16"/>
  <c r="H39" i="16" s="1"/>
  <c r="G13" i="29" l="1"/>
  <c r="G14" i="31"/>
  <c r="B17" i="17"/>
  <c r="B22" i="17" s="1"/>
  <c r="I13" i="26"/>
  <c r="G9" i="28" s="1"/>
  <c r="G10" i="28" s="1"/>
  <c r="G16" i="28" s="1"/>
  <c r="G24" i="28" s="1"/>
  <c r="B24" i="17"/>
  <c r="J34" i="16"/>
  <c r="J35" i="16" s="1"/>
  <c r="K34" i="16" s="1"/>
  <c r="H13" i="29"/>
  <c r="H16" i="15"/>
  <c r="H19" i="15" s="1"/>
  <c r="G14" i="33" s="1"/>
  <c r="G16" i="33" s="1"/>
  <c r="G18" i="33" s="1"/>
  <c r="B19" i="33"/>
  <c r="F30" i="33"/>
  <c r="F32" i="33" s="1"/>
  <c r="F34" i="33" s="1"/>
  <c r="G24" i="15"/>
  <c r="G52" i="15" s="1"/>
  <c r="J13" i="26"/>
  <c r="H9" i="28" s="1"/>
  <c r="H10" i="28" s="1"/>
  <c r="H16" i="28" s="1"/>
  <c r="H18" i="28" s="1"/>
  <c r="F16" i="28"/>
  <c r="F18" i="28" s="1"/>
  <c r="I13" i="14"/>
  <c r="I35" i="12" s="1"/>
  <c r="J13" i="14"/>
  <c r="J35" i="12" s="1"/>
  <c r="E18" i="28"/>
  <c r="K12" i="14"/>
  <c r="L7" i="15"/>
  <c r="L9" i="15" s="1"/>
  <c r="K9" i="15"/>
  <c r="I37" i="16"/>
  <c r="I39" i="16" s="1"/>
  <c r="G18" i="28" l="1"/>
  <c r="B19" i="28" s="1"/>
  <c r="B21" i="28" s="1"/>
  <c r="I47" i="15"/>
  <c r="I50" i="15" s="1"/>
  <c r="I16" i="15"/>
  <c r="I19" i="15" s="1"/>
  <c r="I24" i="15" s="1"/>
  <c r="G30" i="33"/>
  <c r="G32" i="33" s="1"/>
  <c r="G34" i="33" s="1"/>
  <c r="B35" i="33" s="1"/>
  <c r="H24" i="15"/>
  <c r="H52" i="15" s="1"/>
  <c r="H24" i="28"/>
  <c r="F24" i="28"/>
  <c r="L30" i="16"/>
  <c r="L32" i="16" s="1"/>
  <c r="L33" i="16" s="1"/>
  <c r="J36" i="12"/>
  <c r="J29" i="17" s="1"/>
  <c r="J33" i="17" s="1"/>
  <c r="J42" i="17" s="1"/>
  <c r="K30" i="16"/>
  <c r="K32" i="16" s="1"/>
  <c r="K33" i="16" s="1"/>
  <c r="K35" i="16" s="1"/>
  <c r="I36" i="12"/>
  <c r="I5" i="29" s="1"/>
  <c r="I10" i="29" s="1"/>
  <c r="I23" i="29" s="1"/>
  <c r="K13" i="14"/>
  <c r="K35" i="12" s="1"/>
  <c r="J37" i="16" l="1"/>
  <c r="J39" i="16" s="1"/>
  <c r="I52" i="15"/>
  <c r="J16" i="15"/>
  <c r="B22" i="28"/>
  <c r="J5" i="29"/>
  <c r="J10" i="29" s="1"/>
  <c r="J23" i="29" s="1"/>
  <c r="J6" i="30"/>
  <c r="J11" i="30" s="1"/>
  <c r="J15" i="30" s="1"/>
  <c r="J50" i="17"/>
  <c r="J55" i="17" s="1"/>
  <c r="K18" i="15"/>
  <c r="J6" i="34"/>
  <c r="J47" i="15"/>
  <c r="J50" i="15" s="1"/>
  <c r="L34" i="16"/>
  <c r="L35" i="16" s="1"/>
  <c r="K47" i="15" s="1"/>
  <c r="K50" i="15" s="1"/>
  <c r="K36" i="12"/>
  <c r="L18" i="15" s="1"/>
  <c r="M30" i="16"/>
  <c r="M32" i="16" s="1"/>
  <c r="M33" i="16" s="1"/>
  <c r="I6" i="34"/>
  <c r="I29" i="17"/>
  <c r="I33" i="17" s="1"/>
  <c r="I42" i="17" s="1"/>
  <c r="I41" i="12"/>
  <c r="J41" i="12" s="1"/>
  <c r="I50" i="17"/>
  <c r="I55" i="17" s="1"/>
  <c r="J18" i="15"/>
  <c r="I6" i="30"/>
  <c r="I11" i="30" s="1"/>
  <c r="I15" i="30" s="1"/>
  <c r="I13" i="29"/>
  <c r="J19" i="15" l="1"/>
  <c r="K16" i="15" s="1"/>
  <c r="K19" i="15" s="1"/>
  <c r="K24" i="15" s="1"/>
  <c r="K52" i="15" s="1"/>
  <c r="M34" i="16"/>
  <c r="M35" i="16" s="1"/>
  <c r="L47" i="15" s="1"/>
  <c r="L50" i="15" s="1"/>
  <c r="K37" i="16"/>
  <c r="K39" i="16" s="1"/>
  <c r="K41" i="12"/>
  <c r="J13" i="29"/>
  <c r="K6" i="34"/>
  <c r="B8" i="34" s="1"/>
  <c r="B15" i="34" s="1"/>
  <c r="K29" i="17"/>
  <c r="K33" i="17" s="1"/>
  <c r="K42" i="17" s="1"/>
  <c r="B44" i="17" s="1"/>
  <c r="K6" i="30"/>
  <c r="K11" i="30" s="1"/>
  <c r="K15" i="30" s="1"/>
  <c r="B17" i="30" s="1"/>
  <c r="B21" i="30" s="1"/>
  <c r="K50" i="17"/>
  <c r="K55" i="17" s="1"/>
  <c r="K5" i="29"/>
  <c r="K10" i="29" s="1"/>
  <c r="K23" i="29" s="1"/>
  <c r="B24" i="29" s="1"/>
  <c r="L37" i="16"/>
  <c r="L39" i="16" s="1"/>
  <c r="J24" i="15" l="1"/>
  <c r="J52" i="15" s="1"/>
  <c r="L16" i="15"/>
  <c r="L19" i="15" s="1"/>
  <c r="L24" i="15" s="1"/>
  <c r="L52" i="15" s="1"/>
  <c r="B25" i="30"/>
  <c r="K13" i="29"/>
  <c r="B14" i="29" s="1"/>
  <c r="B11" i="34"/>
  <c r="M37" i="16"/>
  <c r="M39" i="16" s="1"/>
  <c r="C19" i="18"/>
</calcChain>
</file>

<file path=xl/sharedStrings.xml><?xml version="1.0" encoding="utf-8"?>
<sst xmlns="http://schemas.openxmlformats.org/spreadsheetml/2006/main" count="1351" uniqueCount="708">
  <si>
    <t>Sr. No.</t>
  </si>
  <si>
    <t>Particulars</t>
  </si>
  <si>
    <t>Specifications</t>
  </si>
  <si>
    <t>In Rs. Lacs</t>
  </si>
  <si>
    <t>Land</t>
  </si>
  <si>
    <t>Technical Civil Works</t>
  </si>
  <si>
    <t xml:space="preserve">Civil area for sorting grading hall, precooling and others (420 sqm - Proc area 260 sqm) </t>
  </si>
  <si>
    <t>Non-Technical Civil Works</t>
  </si>
  <si>
    <t>Boundary wall, etc</t>
  </si>
  <si>
    <t>Plant and Machinery</t>
  </si>
  <si>
    <t>a. Grading Sorting Line</t>
  </si>
  <si>
    <t xml:space="preserve">2 MT/hr </t>
  </si>
  <si>
    <t>b. Pre-cooling</t>
  </si>
  <si>
    <t>b. Electricals</t>
  </si>
  <si>
    <t>Power &amp; controls cabling,
PCC &amp; MCC panel, Earthing, 
Indoor &amp; Outdoor lighting,  
Lighting Arrester &amp; other Misc eqpt</t>
  </si>
  <si>
    <t>C. Other Misc Equipments</t>
  </si>
  <si>
    <t>Testing devices, 
Weighing machine, strapping machine, etc, 
Crates - 1500 nos 
Dry type Fire Fighting</t>
  </si>
  <si>
    <t>D. Material Handling Equipments</t>
  </si>
  <si>
    <t>Hand pallet trucks- 2 Nos</t>
  </si>
  <si>
    <t>P&amp;P Expenses</t>
  </si>
  <si>
    <t xml:space="preserve">3% of TCW, NTCW and P&amp;M </t>
  </si>
  <si>
    <t>Contingencies</t>
  </si>
  <si>
    <t>2% of TCW, NTCW and P&amp;M</t>
  </si>
  <si>
    <t>Working Capital Margin</t>
  </si>
  <si>
    <t>Grand Total</t>
  </si>
  <si>
    <t>Project Glance</t>
  </si>
  <si>
    <t>Project Cost</t>
  </si>
  <si>
    <t>Amount (Rs in Lacs)</t>
  </si>
  <si>
    <t>Land Cost</t>
  </si>
  <si>
    <t>Total</t>
  </si>
  <si>
    <t xml:space="preserve">Means Of Finance </t>
  </si>
  <si>
    <t>Bank Term Loan</t>
  </si>
  <si>
    <t xml:space="preserve">Promoters' Contribution </t>
  </si>
  <si>
    <t>NHB Estimate</t>
  </si>
  <si>
    <t>Depreciation - SLM</t>
  </si>
  <si>
    <t>Depreciation - WDV</t>
  </si>
  <si>
    <t>Y1</t>
  </si>
  <si>
    <t>Y2</t>
  </si>
  <si>
    <t>Y3</t>
  </si>
  <si>
    <t>Y4</t>
  </si>
  <si>
    <t>Y5</t>
  </si>
  <si>
    <t>Y6</t>
  </si>
  <si>
    <t>Y7</t>
  </si>
  <si>
    <t>Building and Civil Works</t>
  </si>
  <si>
    <t>Building</t>
  </si>
  <si>
    <t>Opening Balance</t>
  </si>
  <si>
    <t>Depreciation @  3.17%</t>
  </si>
  <si>
    <t>Depreciation @  10 %</t>
  </si>
  <si>
    <t>Closing balance</t>
  </si>
  <si>
    <t>Machinery &amp; equipment</t>
  </si>
  <si>
    <t>Opening Bal</t>
  </si>
  <si>
    <t>Depreciaton @ 6.33%</t>
  </si>
  <si>
    <t>Depreciaton @ 15%</t>
  </si>
  <si>
    <t>Transport Vehicle</t>
  </si>
  <si>
    <t>Depreciaton @ 7.88%</t>
  </si>
  <si>
    <t>Depreciaton @ 30%</t>
  </si>
  <si>
    <t>Total Opening Balance</t>
  </si>
  <si>
    <t>Total Depreciation</t>
  </si>
  <si>
    <t>*Figures in Rs. Lakh</t>
  </si>
  <si>
    <t>Plant Capacity</t>
  </si>
  <si>
    <t>Total Annual Plant Capacity (MT)</t>
  </si>
  <si>
    <t xml:space="preserve">Job work Charges- Rs/MT </t>
  </si>
  <si>
    <t>JW Grade Output (MT)</t>
  </si>
  <si>
    <t>Pomegranates- Used for Beverage Processing</t>
  </si>
  <si>
    <t>2 TPH</t>
  </si>
  <si>
    <t>Raw Material (MT)</t>
  </si>
  <si>
    <t>Opening Stock</t>
  </si>
  <si>
    <t xml:space="preserve">Purchase </t>
  </si>
  <si>
    <t>Consumed</t>
  </si>
  <si>
    <t>Closing stock</t>
  </si>
  <si>
    <t>Prices (per MT)</t>
  </si>
  <si>
    <t>Value of Opening Stock (Rs. Lakh)</t>
  </si>
  <si>
    <t>Value of Closing Stock (Rs. Lakh)</t>
  </si>
  <si>
    <t>Total JW Receipts (Rs. Lakh)</t>
  </si>
  <si>
    <t>Capacity of 6 MT X 2 units</t>
  </si>
  <si>
    <t>Rate (per MT)</t>
  </si>
  <si>
    <t>Purchases (Rs. In Lakh)</t>
  </si>
  <si>
    <t>#</t>
  </si>
  <si>
    <t>Finished Goods (MT)</t>
  </si>
  <si>
    <t>A</t>
  </si>
  <si>
    <t>Opn Stock</t>
  </si>
  <si>
    <t>Total Production</t>
  </si>
  <si>
    <t>Sales</t>
  </si>
  <si>
    <t>Closing Stock</t>
  </si>
  <si>
    <t>B</t>
  </si>
  <si>
    <t>C</t>
  </si>
  <si>
    <t>Selling Price (Rs/MT)</t>
  </si>
  <si>
    <t>All Products</t>
  </si>
  <si>
    <t>Sales (in Rs. Lakh)</t>
  </si>
  <si>
    <t>Total Sales</t>
  </si>
  <si>
    <t>Manpower Chart</t>
  </si>
  <si>
    <t>S.No.</t>
  </si>
  <si>
    <t>Dept.</t>
  </si>
  <si>
    <t>No.</t>
  </si>
  <si>
    <t>Monthly Salary</t>
  </si>
  <si>
    <t>Annual Income</t>
  </si>
  <si>
    <t>CEO</t>
  </si>
  <si>
    <t>Admin</t>
  </si>
  <si>
    <t>Accounts Head</t>
  </si>
  <si>
    <t>Marketing and Business Development Head</t>
  </si>
  <si>
    <t>Market BD Exec</t>
  </si>
  <si>
    <t>Accountant</t>
  </si>
  <si>
    <t>Admin Staff</t>
  </si>
  <si>
    <t>Security Staff</t>
  </si>
  <si>
    <t>factory</t>
  </si>
  <si>
    <t>Product and Quality Assurance Manager</t>
  </si>
  <si>
    <t>Plant Operators</t>
  </si>
  <si>
    <t>Maintenance Engineer</t>
  </si>
  <si>
    <t>Storekeeper</t>
  </si>
  <si>
    <t>Helpers</t>
  </si>
  <si>
    <t>300/day</t>
  </si>
  <si>
    <t>Basis</t>
  </si>
  <si>
    <t>Power Calc. (Fixed)</t>
  </si>
  <si>
    <t>Fixed Exp</t>
  </si>
  <si>
    <t>Office &amp; Admin</t>
  </si>
  <si>
    <t>Printing &amp; Stationery</t>
  </si>
  <si>
    <t>2000 p.m.</t>
  </si>
  <si>
    <t>Power Calc. (Variable)</t>
  </si>
  <si>
    <t>Telephone</t>
  </si>
  <si>
    <t>Internet &amp; Broadband</t>
  </si>
  <si>
    <t xml:space="preserve">1250 p.m. </t>
  </si>
  <si>
    <t>Office Electricity</t>
  </si>
  <si>
    <t>5 KVA (Power chart)</t>
  </si>
  <si>
    <t>Accounting Charges</t>
  </si>
  <si>
    <t>3000 p.m.</t>
  </si>
  <si>
    <t>Legal Expenses</t>
  </si>
  <si>
    <t>Admin Staff Salary</t>
  </si>
  <si>
    <t>Admin Manpower Chart</t>
  </si>
  <si>
    <t>Conveyance</t>
  </si>
  <si>
    <t>Travelling Expenses</t>
  </si>
  <si>
    <t xml:space="preserve">Perodicals </t>
  </si>
  <si>
    <t xml:space="preserve">1000 p.m. </t>
  </si>
  <si>
    <t>Staff Welfare</t>
  </si>
  <si>
    <t>10% of Staff Salaries</t>
  </si>
  <si>
    <t>Total (Office and Admin Fixed Exp)</t>
  </si>
  <si>
    <t>Factory Exp (Fixed)</t>
  </si>
  <si>
    <t>Repairs</t>
  </si>
  <si>
    <t>Insurance</t>
  </si>
  <si>
    <t>0.5% of the Capital Investment</t>
  </si>
  <si>
    <t>Factory Staff Salary</t>
  </si>
  <si>
    <t>Factory Staff Manpower Chart</t>
  </si>
  <si>
    <t>Electricity</t>
  </si>
  <si>
    <t>Total (Fixed Factory Exp)</t>
  </si>
  <si>
    <t>Variable Exp</t>
  </si>
  <si>
    <t>Labour</t>
  </si>
  <si>
    <t>Variable Manpower Chart</t>
  </si>
  <si>
    <t>Capacity Utilization</t>
  </si>
  <si>
    <t>Water</t>
  </si>
  <si>
    <t xml:space="preserve">50 Rs. Per day </t>
  </si>
  <si>
    <t>Packaging Material</t>
  </si>
  <si>
    <t>Stocks of Safety Gear (gloves, shoes, disinfectants, etc)</t>
  </si>
  <si>
    <t>800/labour</t>
  </si>
  <si>
    <t>500/ton</t>
  </si>
  <si>
    <t>Repairs &amp; Maintainence</t>
  </si>
  <si>
    <t>Selling &amp; Dist Exp</t>
  </si>
  <si>
    <t>Misc Exp</t>
  </si>
  <si>
    <t>Total Variable Exp</t>
  </si>
  <si>
    <t>Factory Head*</t>
  </si>
  <si>
    <t>No of days of opertaion (JW Services)</t>
  </si>
  <si>
    <t>Capacity Utilization (JW Services)</t>
  </si>
  <si>
    <t>Capacity Utilization (Captive Operations)</t>
  </si>
  <si>
    <t>Job work Services</t>
  </si>
  <si>
    <t>Captive Operations</t>
  </si>
  <si>
    <t>Captive Operations Grade Output (MT)</t>
  </si>
  <si>
    <t>No of days of opertaion (Captive Operations)</t>
  </si>
  <si>
    <t>Total Working days of the Facilty</t>
  </si>
  <si>
    <t>Rental Charges for Reefer van from third party</t>
  </si>
  <si>
    <t xml:space="preserve">Transportation Expenses </t>
  </si>
  <si>
    <t>W.C Margin</t>
  </si>
  <si>
    <t>W.C Loan</t>
  </si>
  <si>
    <t>Consolidated Profit and loss Account for the Project</t>
  </si>
  <si>
    <t xml:space="preserve">Revenue from Sale </t>
  </si>
  <si>
    <t xml:space="preserve">    Total Revenue</t>
  </si>
  <si>
    <t>Less:- Opening Stock of F.G.</t>
  </si>
  <si>
    <t>Add:-Closing Stock of F. G.</t>
  </si>
  <si>
    <t>Cost of Finish Goods</t>
  </si>
  <si>
    <t>Raw Material Purchased</t>
  </si>
  <si>
    <t>Add:- Opening Stock of R.M</t>
  </si>
  <si>
    <t>Less:-Closing Stock of R.M.</t>
  </si>
  <si>
    <t>Cost of Material Consumed</t>
  </si>
  <si>
    <t>Total Fixed exp</t>
  </si>
  <si>
    <t>Total Variable exp</t>
  </si>
  <si>
    <t>Preliminary exp written off</t>
  </si>
  <si>
    <t>Profit Before Interest and Depn</t>
  </si>
  <si>
    <t>Term loan interest</t>
  </si>
  <si>
    <t>Interest on WC</t>
  </si>
  <si>
    <t>Depreciation (SLM)</t>
  </si>
  <si>
    <t>Profit Before Tax</t>
  </si>
  <si>
    <t>Profit After Tax</t>
  </si>
  <si>
    <t>Cumuilative Reserve &amp; Surplus</t>
  </si>
  <si>
    <t xml:space="preserve">Less. Tax </t>
  </si>
  <si>
    <t xml:space="preserve">Repayment Schedule </t>
  </si>
  <si>
    <t>Interest rate -</t>
  </si>
  <si>
    <t>(in Lacs)</t>
  </si>
  <si>
    <t>Particluars</t>
  </si>
  <si>
    <t xml:space="preserve">Interest </t>
  </si>
  <si>
    <t>Principal Repayment</t>
  </si>
  <si>
    <t>EMI</t>
  </si>
  <si>
    <t>Closing Outstanding</t>
  </si>
  <si>
    <t>Year 1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</si>
  <si>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</si>
  <si>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</si>
  <si>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</si>
  <si>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</si>
  <si>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</si>
  <si>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</si>
  <si>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</si>
  <si>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</si>
  <si>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</si>
  <si>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</si>
  <si>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</si>
  <si>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</si>
  <si>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Year 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</si>
  <si>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</si>
  <si>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</si>
  <si>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</si>
  <si>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</si>
  <si>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</si>
  <si>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</si>
  <si>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</si>
  <si>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</si>
  <si>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</si>
  <si>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</si>
  <si>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</si>
  <si>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</si>
  <si>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Year 3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</si>
  <si>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</si>
  <si>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</si>
  <si>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</si>
  <si>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</si>
  <si>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</si>
  <si>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</si>
  <si>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</si>
  <si>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</si>
  <si>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</si>
  <si>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</si>
  <si>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</si>
  <si>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</si>
  <si>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Year 4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</si>
  <si>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</si>
  <si>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</si>
  <si>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</si>
  <si>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</si>
  <si>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</si>
  <si>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</si>
  <si>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</si>
  <si>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</si>
  <si>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</si>
  <si>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</si>
  <si>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</si>
  <si>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</si>
  <si>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Year 5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</si>
  <si>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</si>
  <si>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</si>
  <si>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</si>
  <si>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</si>
  <si>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</si>
  <si>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</si>
  <si>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</si>
  <si>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</si>
  <si>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</si>
  <si>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</si>
  <si>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</si>
  <si>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</si>
  <si>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Year 6</t>
  </si>
  <si>
    <t>Month 61</t>
  </si>
  <si>
    <t>Month 62</t>
  </si>
  <si>
    <t>Month 63</t>
  </si>
  <si>
    <t>Month 64</t>
  </si>
  <si>
    <t>Month 65</t>
  </si>
  <si>
    <t>Month 66</t>
  </si>
  <si>
    <t>Month 67</t>
  </si>
  <si>
    <t>Month 68</t>
  </si>
  <si>
    <t>Month 69</t>
  </si>
  <si>
    <t>Month 70</t>
  </si>
  <si>
    <t>Month 71</t>
  </si>
  <si>
    <t>Month 72</t>
  </si>
  <si>
    <t>Month 73</t>
  </si>
  <si>
    <t>Month 74</t>
  </si>
  <si>
    <t>Month 75</t>
  </si>
  <si>
    <t>Month 76</t>
  </si>
  <si>
    <t>Month 77</t>
  </si>
  <si>
    <t>Month 78</t>
  </si>
  <si>
    <t>Month 79</t>
  </si>
  <si>
    <t>Month 80</t>
  </si>
  <si>
    <t>Month 81</t>
  </si>
  <si>
    <t>Month 82</t>
  </si>
  <si>
    <t>Month 83</t>
  </si>
  <si>
    <t>Month 84</t>
  </si>
  <si>
    <t>Year 7</t>
  </si>
  <si>
    <t>Income Tax Calculations</t>
  </si>
  <si>
    <t>Profit As per P&amp;L</t>
  </si>
  <si>
    <t>Add: Depreciation by SLM method</t>
  </si>
  <si>
    <t>Less: Depreciation by WDV method</t>
  </si>
  <si>
    <t>Less: P&amp; P Expenses</t>
  </si>
  <si>
    <t>Taxable profit</t>
  </si>
  <si>
    <t xml:space="preserve">                    PROJECTED BALANCE SHEET                        </t>
  </si>
  <si>
    <t>LIABILITIES</t>
  </si>
  <si>
    <t>Promoters' Capital</t>
  </si>
  <si>
    <t>Total Capital</t>
  </si>
  <si>
    <t>Reserves &amp; Surplus</t>
  </si>
  <si>
    <t xml:space="preserve">Profit &amp; Loss </t>
  </si>
  <si>
    <t xml:space="preserve">Opening Balance </t>
  </si>
  <si>
    <t xml:space="preserve">Add: Profit after tax </t>
  </si>
  <si>
    <t xml:space="preserve">                 Total</t>
  </si>
  <si>
    <t>Secured Loan From Bank</t>
  </si>
  <si>
    <t>W. Capital Loan</t>
  </si>
  <si>
    <t xml:space="preserve">Current Liability </t>
  </si>
  <si>
    <t>Total ( A )</t>
  </si>
  <si>
    <t>ASSETS</t>
  </si>
  <si>
    <t>Fixed Assets</t>
  </si>
  <si>
    <t>Gross Block</t>
  </si>
  <si>
    <t>Net Block</t>
  </si>
  <si>
    <t>P&amp;P</t>
  </si>
  <si>
    <t>Current Assets</t>
  </si>
  <si>
    <t>Sundry Debtor</t>
  </si>
  <si>
    <t>Closing Stock FG</t>
  </si>
  <si>
    <t>Closing Stock RM</t>
  </si>
  <si>
    <t>Cash &amp; Bank Balance</t>
  </si>
  <si>
    <t>(Including Cash Credit Limit)</t>
  </si>
  <si>
    <t>Total  ( B )</t>
  </si>
  <si>
    <t>Cash Flow Statement</t>
  </si>
  <si>
    <t>Revenue</t>
  </si>
  <si>
    <t>Total Revenue</t>
  </si>
  <si>
    <t>Term Loan</t>
  </si>
  <si>
    <t>W.Capital loan</t>
  </si>
  <si>
    <t>Grant</t>
  </si>
  <si>
    <t>Increase in Current Liabilities</t>
  </si>
  <si>
    <t>Sub Total (A)</t>
  </si>
  <si>
    <t>Cash Outflow (Rs.)</t>
  </si>
  <si>
    <t>Capital Expenditure</t>
  </si>
  <si>
    <t>a</t>
  </si>
  <si>
    <t>b</t>
  </si>
  <si>
    <t>c</t>
  </si>
  <si>
    <t>Pre-operative exp.</t>
  </si>
  <si>
    <t>Operational Expenditure</t>
  </si>
  <si>
    <t>Fixed Cost (Excl. Of Interest)</t>
  </si>
  <si>
    <t>Variable Cost</t>
  </si>
  <si>
    <t>Loan Repayment</t>
  </si>
  <si>
    <t>Interest: TL</t>
  </si>
  <si>
    <t>Interest WC</t>
  </si>
  <si>
    <t>Increase in Current Assets</t>
  </si>
  <si>
    <t>Tax</t>
  </si>
  <si>
    <t>Differencial tax liabilities</t>
  </si>
  <si>
    <t>Sub Total (B)</t>
  </si>
  <si>
    <t>Net Cash Flow (A-B)</t>
  </si>
  <si>
    <t>Opening Cash and Bank</t>
  </si>
  <si>
    <t>Cumulative Cash Balance</t>
  </si>
  <si>
    <t>Cost of Material Purchased</t>
  </si>
  <si>
    <t>RATIOS</t>
  </si>
  <si>
    <t>Net Profit</t>
  </si>
  <si>
    <t>Dep</t>
  </si>
  <si>
    <t>Amortization</t>
  </si>
  <si>
    <t>Cash Flow</t>
  </si>
  <si>
    <t>D.F @ 10%</t>
  </si>
  <si>
    <t>IRR</t>
  </si>
  <si>
    <t>Contribution</t>
  </si>
  <si>
    <t>Fixed Cost</t>
  </si>
  <si>
    <t>BEP</t>
  </si>
  <si>
    <t>Avg BEP</t>
  </si>
  <si>
    <t>DSCR</t>
  </si>
  <si>
    <t>PROFIT</t>
  </si>
  <si>
    <t>Depreciation</t>
  </si>
  <si>
    <t>INTEREST on TL</t>
  </si>
  <si>
    <t>TOTAL</t>
  </si>
  <si>
    <t>Total Annual EMI</t>
  </si>
  <si>
    <t>AVG DSCR</t>
  </si>
  <si>
    <t>As per WC Assessment</t>
  </si>
  <si>
    <t>PHT Estimate</t>
  </si>
  <si>
    <t>RB Estimate</t>
  </si>
  <si>
    <t>Working Model</t>
  </si>
  <si>
    <t>Job Work Services</t>
  </si>
  <si>
    <t>Capitive Operations</t>
  </si>
  <si>
    <t>Bldg</t>
  </si>
  <si>
    <t>SLM</t>
  </si>
  <si>
    <t>WDV</t>
  </si>
  <si>
    <t>Capacity of Plant</t>
  </si>
  <si>
    <t>JW Services</t>
  </si>
  <si>
    <t xml:space="preserve">Grade Output </t>
  </si>
  <si>
    <t xml:space="preserve">Working Days </t>
  </si>
  <si>
    <t>Closing Stock- Raw Material</t>
  </si>
  <si>
    <t>15 days</t>
  </si>
  <si>
    <t>Closing Stock- Finished Goods</t>
  </si>
  <si>
    <t>Purchase Price (in Rs. Per MT)</t>
  </si>
  <si>
    <t xml:space="preserve">Inflation assumed </t>
  </si>
  <si>
    <t>5% p.a.</t>
  </si>
  <si>
    <t>Sales Price (in Rs. Per MT)</t>
  </si>
  <si>
    <t>Loan Interest Rate</t>
  </si>
  <si>
    <t>Term Loan Tenure (inc. Moratorium of 12 months)</t>
  </si>
  <si>
    <t>84 months (7 years)</t>
  </si>
  <si>
    <t>Income Tax calc.</t>
  </si>
  <si>
    <t>Current Liability</t>
  </si>
  <si>
    <t>1 month</t>
  </si>
  <si>
    <t>Sundry Debtors</t>
  </si>
  <si>
    <t>Debtors</t>
  </si>
  <si>
    <t>Stock</t>
  </si>
  <si>
    <t>Creditors</t>
  </si>
  <si>
    <t>PHT Estimate (exc DG Set)</t>
  </si>
  <si>
    <t>Sr.No.</t>
  </si>
  <si>
    <t>ITEM</t>
  </si>
  <si>
    <t>ESTIMATE in Lakh INR</t>
  </si>
  <si>
    <t>CIVIL WORKS</t>
  </si>
  <si>
    <t>D</t>
  </si>
  <si>
    <t>E</t>
  </si>
  <si>
    <t>F</t>
  </si>
  <si>
    <t xml:space="preserve">Plant and Machinery </t>
  </si>
  <si>
    <t>Misc. Fixed Assets</t>
  </si>
  <si>
    <t>Production Operations (Farm Level: 
1.5 Lakh/ Acre X 2.47 (for per Ha.) X 250 farmers X 60% X 20%)</t>
  </si>
  <si>
    <t>Custom Hiring</t>
  </si>
  <si>
    <t>Qty</t>
  </si>
  <si>
    <t>100% capacity</t>
  </si>
  <si>
    <t>No. of Hours Per day</t>
  </si>
  <si>
    <t>Charges per Acre</t>
  </si>
  <si>
    <t>Unit for charging rent</t>
  </si>
  <si>
    <t>Revenue (Rs. Per lakh)</t>
  </si>
  <si>
    <t>Machine</t>
  </si>
  <si>
    <t>(Acre)</t>
  </si>
  <si>
    <t>C.U.</t>
  </si>
  <si>
    <t>per Acre</t>
  </si>
  <si>
    <t>Tractor-55HP</t>
  </si>
  <si>
    <t>per hour</t>
  </si>
  <si>
    <t>Planter</t>
  </si>
  <si>
    <t>per day</t>
  </si>
  <si>
    <t>Harvester</t>
  </si>
  <si>
    <t>(1+2-3)</t>
  </si>
  <si>
    <t>Total Working Capital Requirement</t>
  </si>
  <si>
    <t>Working Capital Assessment</t>
  </si>
  <si>
    <t>1 Months Exp</t>
  </si>
  <si>
    <t>RM</t>
  </si>
  <si>
    <t>Production Level Support</t>
  </si>
  <si>
    <t>Civil Works and P&amp;M</t>
  </si>
  <si>
    <t>d</t>
  </si>
  <si>
    <t>MFA</t>
  </si>
  <si>
    <t>Salvage Value</t>
  </si>
  <si>
    <t>Disc Cash Flow @ 10% DF</t>
  </si>
  <si>
    <t>Total P.V of Inflows @ 10% DF</t>
  </si>
  <si>
    <t xml:space="preserve">Total P.V of Outflows </t>
  </si>
  <si>
    <t>NPV (@10% DF)</t>
  </si>
  <si>
    <t>Fixed Expenses</t>
  </si>
  <si>
    <t>TL Interest</t>
  </si>
  <si>
    <t>WC Interest</t>
  </si>
  <si>
    <t>P&amp;P exp</t>
  </si>
  <si>
    <t>Project Payback Period</t>
  </si>
  <si>
    <t>ROCE (Avg)</t>
  </si>
  <si>
    <t>Farm Implements Helpers</t>
  </si>
  <si>
    <t>Y0</t>
  </si>
  <si>
    <t>Intt</t>
  </si>
  <si>
    <t>Repayment</t>
  </si>
  <si>
    <t>Closing Bal</t>
  </si>
  <si>
    <t>Less : Depreciation</t>
  </si>
  <si>
    <t>Farm Implements-Custom Hiring</t>
  </si>
  <si>
    <t>P&amp;M and MFA</t>
  </si>
  <si>
    <t>Pomegranates (Discounted Price due to Production Level Support)</t>
  </si>
  <si>
    <t>Mandi Price</t>
  </si>
  <si>
    <t>Production Level Interventions (contract farming Support)</t>
  </si>
  <si>
    <t>Advance to Suppliers</t>
  </si>
  <si>
    <t>Advances to Suppliers</t>
  </si>
  <si>
    <t>RM and Finished Goods Stock</t>
  </si>
  <si>
    <t>Farm Level Support Cost</t>
  </si>
  <si>
    <t xml:space="preserve">Job Work Charges </t>
  </si>
  <si>
    <t>Farm Implement Business (in Rs. Per Acre - Fixed)</t>
  </si>
  <si>
    <t>Discounted RM price (due to farm level interventions) as % of mandi price</t>
  </si>
  <si>
    <t>FI1</t>
  </si>
  <si>
    <t>FI2</t>
  </si>
  <si>
    <t>0 days</t>
  </si>
  <si>
    <t>Products</t>
  </si>
  <si>
    <t>Qty (KG)</t>
  </si>
  <si>
    <t>Remuneration Sharing FPO/VCO - Producer Model (Ideal)</t>
  </si>
  <si>
    <t>Assuming, 60:40 ratio of profit between FPO/VCO (60%) and Producer (40%)</t>
  </si>
  <si>
    <t>Remuneration of FPO/VCO Per MT</t>
  </si>
  <si>
    <t>Remuneration of Producer Per MT</t>
  </si>
  <si>
    <t>Net Profit per MT</t>
  </si>
  <si>
    <t xml:space="preserve">Y1 </t>
  </si>
  <si>
    <t>Pomegranates</t>
  </si>
  <si>
    <t>Pomegranates processed (MT)</t>
  </si>
  <si>
    <t>Yield per acre</t>
  </si>
  <si>
    <t>Total Additional sales realization to farmers over traditional sale (in Rs. Lakh)</t>
  </si>
  <si>
    <t>Total Remuneration to FPO/VCO (in Rs. Lakh)</t>
  </si>
  <si>
    <t>D.F @ 9%</t>
  </si>
  <si>
    <t>Disc Cash Flow @ 9% DF</t>
  </si>
  <si>
    <t xml:space="preserve">PV of Total Benefit to Producers+FPO/VCO (in Rs. Lakh) </t>
  </si>
  <si>
    <t>Project PV of Outflows</t>
  </si>
  <si>
    <t>Economic Rate of Return</t>
  </si>
  <si>
    <t>Profit Share of FPO/VCO Per MT (in Rs.)</t>
  </si>
  <si>
    <t>Total Benefit to Producers+FPO/VCO (in. Rs. Lakh)</t>
  </si>
  <si>
    <t>Additional Remuneration/Net Profit (per MT) over traditional sale to FPO/VCO</t>
  </si>
  <si>
    <t>ENPV (in Rs. Lakh) )</t>
  </si>
  <si>
    <t xml:space="preserve">Acres Influenced - </t>
  </si>
  <si>
    <t>Hectares Influenced</t>
  </si>
  <si>
    <t>Number of Farmers to be benefitted (assuming 1 hectare per farmer)</t>
  </si>
  <si>
    <t>Additional Income to producer Per MT under envisaged model (in Rs.)</t>
  </si>
  <si>
    <t>Taxes</t>
  </si>
  <si>
    <t>Internal Rate of Return</t>
  </si>
  <si>
    <t xml:space="preserve">Particular </t>
  </si>
  <si>
    <t>Y8</t>
  </si>
  <si>
    <t>Y9</t>
  </si>
  <si>
    <t>Y10</t>
  </si>
  <si>
    <t>Profit after Tax &amp; Diivdend</t>
  </si>
  <si>
    <t>Add: Preliminary expense written off</t>
  </si>
  <si>
    <t xml:space="preserve">Net Cash Accrual (A)      </t>
  </si>
  <si>
    <t>Presnt Value of Future Inflows</t>
  </si>
  <si>
    <t>Operating Net Cash Inflow</t>
  </si>
  <si>
    <t>Present Capital Outflow</t>
  </si>
  <si>
    <t>IRR Without Grant</t>
  </si>
  <si>
    <t>IRR With Grant</t>
  </si>
  <si>
    <r>
      <t>Add</t>
    </r>
    <r>
      <rPr>
        <sz val="11"/>
        <color indexed="8"/>
        <rFont val="Garamond"/>
        <family val="1"/>
      </rPr>
      <t>: Deprication</t>
    </r>
  </si>
  <si>
    <t>Net Presnt Value</t>
  </si>
  <si>
    <t>Add: Deprication</t>
  </si>
  <si>
    <t>Add. Preliminary exp Written off</t>
  </si>
  <si>
    <t>PV Factor @ 10 %</t>
  </si>
  <si>
    <t>Disc Cash Flow</t>
  </si>
  <si>
    <t>Total Discounted Cash Flows</t>
  </si>
  <si>
    <t>Present Value of Outflow</t>
  </si>
  <si>
    <t>NPV (with grant)</t>
  </si>
  <si>
    <t>NPV (without grant)</t>
  </si>
  <si>
    <t>Present Value of Outflow (with grant)</t>
  </si>
  <si>
    <t>Return On Investments</t>
  </si>
  <si>
    <t>Average net profit</t>
  </si>
  <si>
    <t>Total Project cost</t>
  </si>
  <si>
    <t>Present Capital Outflow (With Grant)</t>
  </si>
  <si>
    <t>ROCE (without grant)</t>
  </si>
  <si>
    <t>Total Project Cost-Grant</t>
  </si>
  <si>
    <t>ROCE (with grant)</t>
  </si>
  <si>
    <t>Payback Period (without Grant)</t>
  </si>
  <si>
    <t>Payback Period (with Grant)</t>
  </si>
  <si>
    <t>Debt-Equity Ratio</t>
  </si>
  <si>
    <t>Debt</t>
  </si>
  <si>
    <t xml:space="preserve">                   TOTAL     :      Rs.</t>
  </si>
  <si>
    <t>Equity</t>
  </si>
  <si>
    <t xml:space="preserve">          </t>
  </si>
  <si>
    <t>Partner's Capital</t>
  </si>
  <si>
    <t>Reserve &amp; Surplus including Govt Grant</t>
  </si>
  <si>
    <t>Debt Equity (including Govt Grant)</t>
  </si>
  <si>
    <t>Reserve &amp; Surplus excluding Govt Grant</t>
  </si>
  <si>
    <t>Debt Equity (excluding Govt Grant)</t>
  </si>
  <si>
    <t>Profit After tax</t>
  </si>
  <si>
    <t>Add : Depreciation as per books</t>
  </si>
  <si>
    <t>Add: preliminary expense written off</t>
  </si>
  <si>
    <t>Add: Interest on term loan</t>
  </si>
  <si>
    <t>Annual Interest</t>
  </si>
  <si>
    <t xml:space="preserve">Annual EMI </t>
  </si>
  <si>
    <t>ISCR</t>
  </si>
  <si>
    <t>Average DSCR</t>
  </si>
  <si>
    <t>Average ISCR</t>
  </si>
  <si>
    <t xml:space="preserve">DSCR </t>
  </si>
  <si>
    <t>Avg Debt Equity Ratio (with grant)</t>
  </si>
  <si>
    <t>Avg Debt Equity Ratio (without grant)</t>
  </si>
  <si>
    <t>% of Total Cost</t>
  </si>
  <si>
    <t>% of total funding</t>
  </si>
  <si>
    <t>Turnover</t>
  </si>
  <si>
    <t>Cost of Operations</t>
  </si>
  <si>
    <t>Gross Profit</t>
  </si>
  <si>
    <t>Earnings Before Interest, Tax, Depreciation and Amortization (EBITDA)</t>
  </si>
  <si>
    <t>Profit before taxation</t>
  </si>
  <si>
    <t>Profit after taxation</t>
  </si>
  <si>
    <t>Change in Stock</t>
  </si>
  <si>
    <t>M</t>
  </si>
  <si>
    <t>Office table</t>
  </si>
  <si>
    <t>Chairs</t>
  </si>
  <si>
    <t>TOTAL (1+2+3+4+5)</t>
  </si>
  <si>
    <t>PRELIMINARY &amp; PREOPERATIVE EXP</t>
  </si>
  <si>
    <t>Broken</t>
  </si>
  <si>
    <t>SENSITIVITY ANALYSIS</t>
  </si>
  <si>
    <t>Quantity Variation (+10%)</t>
  </si>
  <si>
    <t>Year-1</t>
  </si>
  <si>
    <t>Year-2</t>
  </si>
  <si>
    <t>Year-3</t>
  </si>
  <si>
    <t>Year-4</t>
  </si>
  <si>
    <t>Year-5</t>
  </si>
  <si>
    <t>Total Income</t>
  </si>
  <si>
    <t>Expenditure</t>
  </si>
  <si>
    <t>Fixed Cost (Excl. of Depreciation, Amortization and Interest)</t>
  </si>
  <si>
    <t>Total Operational Expenses</t>
  </si>
  <si>
    <t>Net Income</t>
  </si>
  <si>
    <t>Cost Variation (+10%)</t>
  </si>
  <si>
    <t>Quantity Variation (-10%)</t>
  </si>
  <si>
    <t>Cost Variation (-10%)</t>
  </si>
  <si>
    <t>Year-6</t>
  </si>
  <si>
    <t>Year-7</t>
  </si>
  <si>
    <t>Year-8</t>
  </si>
  <si>
    <t>Year-9</t>
  </si>
  <si>
    <t>Year-10</t>
  </si>
  <si>
    <t>Cost of Material consumed</t>
  </si>
  <si>
    <t>Change in Closing Stock of FG</t>
  </si>
  <si>
    <t>G</t>
  </si>
  <si>
    <t>FURNITURE &amp; FIXTURES</t>
  </si>
  <si>
    <t>WCM</t>
  </si>
  <si>
    <t xml:space="preserve">Preliminary &amp; Preoperative Exp </t>
  </si>
  <si>
    <t>P&amp;P Exp W/O</t>
  </si>
  <si>
    <t>Total P&amp;P Exp</t>
  </si>
  <si>
    <t>Ammortization Rate PA</t>
  </si>
  <si>
    <t>Rate (Rs. per MT)</t>
  </si>
  <si>
    <t xml:space="preserve">Rice </t>
  </si>
  <si>
    <t>with grant</t>
  </si>
  <si>
    <t>without grant</t>
  </si>
  <si>
    <t>W.C Loan (unsecured loan from Directors)</t>
  </si>
  <si>
    <t>none</t>
  </si>
  <si>
    <t>Rent for Land</t>
  </si>
  <si>
    <t>1000 p.m.</t>
  </si>
  <si>
    <t>Members</t>
  </si>
  <si>
    <t>Non-Members</t>
  </si>
  <si>
    <t>Services Users and RM Sellers</t>
  </si>
  <si>
    <t>Production- Paddy (MT)</t>
  </si>
  <si>
    <t>Total Production (Paddy)</t>
  </si>
  <si>
    <t>Income Tax 30%</t>
  </si>
  <si>
    <t>Requirement of Project (MT)</t>
  </si>
  <si>
    <t>H</t>
  </si>
  <si>
    <t>I</t>
  </si>
  <si>
    <t>J</t>
  </si>
  <si>
    <t>K</t>
  </si>
  <si>
    <t>WEIGH BRIDGE</t>
  </si>
  <si>
    <t>Packaging , Printing &amp; Weighing Machine</t>
  </si>
  <si>
    <t>Packaging Machine</t>
  </si>
  <si>
    <t>Printing Machine</t>
  </si>
  <si>
    <t>Weighing Machine</t>
  </si>
  <si>
    <t>ELECTRIC FITTING</t>
  </si>
  <si>
    <t>11 KV Line</t>
  </si>
  <si>
    <t>Paddy</t>
  </si>
  <si>
    <t>Total Input (Paddy) (MT)</t>
  </si>
  <si>
    <t>Paddy processed per day (MT)</t>
  </si>
  <si>
    <t>Husk</t>
  </si>
  <si>
    <t>Bran</t>
  </si>
  <si>
    <t>Weigh Bridge Operator</t>
  </si>
  <si>
    <t>Weigh Bridge Revenue Schedule</t>
  </si>
  <si>
    <t>Trucks Weighed per day</t>
  </si>
  <si>
    <t>No. of days of operation</t>
  </si>
  <si>
    <t>Tractors Weighed per day</t>
  </si>
  <si>
    <t xml:space="preserve">Total Revenue </t>
  </si>
  <si>
    <t>Revenue from Weigh Bridge operation</t>
  </si>
  <si>
    <t>Charges per vehicle</t>
  </si>
  <si>
    <t>Rice processing (in Rs. Per MT)</t>
  </si>
  <si>
    <t>500/day</t>
  </si>
  <si>
    <t>Net taxable profit</t>
  </si>
  <si>
    <t>Rice Mill</t>
  </si>
  <si>
    <t>5000 p.m.</t>
  </si>
  <si>
    <t>1% of machine cost &amp; civil works</t>
  </si>
  <si>
    <t>Marketable Surplus - Paddy (70%)</t>
  </si>
  <si>
    <t>Smart Subsidy %</t>
  </si>
  <si>
    <t>Subsidy Amount</t>
  </si>
  <si>
    <t>Revenue- Service Charges - Rice Milling</t>
  </si>
  <si>
    <t>90% reserved for JW Services</t>
  </si>
  <si>
    <t>10% reserved for Captive operations</t>
  </si>
  <si>
    <t>90% capacity reserved</t>
  </si>
  <si>
    <t>10% capacity reserved</t>
  </si>
  <si>
    <t xml:space="preserve"> </t>
  </si>
  <si>
    <t>L</t>
  </si>
  <si>
    <t>Rice</t>
  </si>
  <si>
    <t>Loss b/f</t>
  </si>
  <si>
    <t>loss c/f</t>
  </si>
  <si>
    <t>Variety</t>
  </si>
  <si>
    <t>JSR</t>
  </si>
  <si>
    <t>480/ton</t>
  </si>
  <si>
    <t>DTC- 200 KVA</t>
  </si>
  <si>
    <t>Civil work for Factory Building &amp; godown</t>
  </si>
  <si>
    <t>Rice Mill Shed</t>
  </si>
  <si>
    <t>compund wall</t>
  </si>
  <si>
    <t>Guard Room</t>
  </si>
  <si>
    <t>Labour Quarter</t>
  </si>
  <si>
    <t>Weigh Bridge</t>
  </si>
  <si>
    <t>Road Work</t>
  </si>
  <si>
    <t>Rice Milling Machine (4 TPH)</t>
  </si>
  <si>
    <t>Rotary Sew TQLM 100*2 with Blower</t>
  </si>
  <si>
    <t>Distoner TQS-100 with Blower</t>
  </si>
  <si>
    <t>Rubber Seller MLGT-36 with Blower</t>
  </si>
  <si>
    <t>Crompton Motor</t>
  </si>
  <si>
    <t>Separator MGC-2 60*20*1(20 Tray)</t>
  </si>
  <si>
    <t>Sortex mayer 6 tray with compressor 30 HP Complete</t>
  </si>
  <si>
    <t>Silky Matching kb 40 with 60 Hp 960 RPU motor panel, water filter complete</t>
  </si>
  <si>
    <t xml:space="preserve">Panel Board and cable fitting </t>
  </si>
  <si>
    <t>Chawal chalmi mm 3*125*5</t>
  </si>
  <si>
    <t>Elevator with Bucket, Belt and Gear</t>
  </si>
  <si>
    <t>Bran Filter 100” inch</t>
  </si>
  <si>
    <t>TS-25 Polisher</t>
  </si>
  <si>
    <t>Godown Shed (2000 MT)</t>
  </si>
  <si>
    <t>4 TPH</t>
  </si>
  <si>
    <t>Details of Godown Income</t>
  </si>
  <si>
    <t>Capicity of Godown in MT per month</t>
  </si>
  <si>
    <t>No of Godowns</t>
  </si>
  <si>
    <t>No of Months</t>
  </si>
  <si>
    <t>Expected</t>
  </si>
  <si>
    <t>Rate</t>
  </si>
  <si>
    <t>Total Capacity (MT)</t>
  </si>
  <si>
    <t>Farmers</t>
  </si>
  <si>
    <t>Rent Per Quintal (in Rs.)</t>
  </si>
  <si>
    <t>Others</t>
  </si>
  <si>
    <t>Total expected Receipts @ 100% CU</t>
  </si>
  <si>
    <t>Receipts :-</t>
  </si>
  <si>
    <t>Receipts @ 100% CU</t>
  </si>
  <si>
    <t>Capacity Utilisation</t>
  </si>
  <si>
    <t>Godown Rent Receipts</t>
  </si>
  <si>
    <t>Total Receipts</t>
  </si>
  <si>
    <t>Fumigation Expenses</t>
  </si>
  <si>
    <t>Licensing Expenses</t>
  </si>
  <si>
    <t>Local Taxes</t>
  </si>
  <si>
    <t>Fixed Electricity</t>
  </si>
  <si>
    <t>Dunnage</t>
  </si>
  <si>
    <t>Total Fixed Expenses (Warehouse)</t>
  </si>
  <si>
    <t>Warehouse Exp</t>
  </si>
  <si>
    <t>Consumables for warehouse</t>
  </si>
  <si>
    <t>Other Variabble exp for warehouse</t>
  </si>
  <si>
    <t>Revenue- warehouse</t>
  </si>
  <si>
    <t>own land</t>
  </si>
  <si>
    <t>145 KVA (Power chart)</t>
  </si>
  <si>
    <t>150 KVA (Power chart)</t>
  </si>
  <si>
    <t>Present Value Equivalent @ 39.45%</t>
  </si>
  <si>
    <t>7 Yrs 2 month</t>
  </si>
  <si>
    <t>4 Years 1 months</t>
  </si>
  <si>
    <t>Present Value Equivalent @ 14.77%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</si>
</sst>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 * #,##0_ ;_ * \-#,##0_ ;_ * &quot;-&quot;??_ ;_ @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1"/>
      <name val="Garamond"/>
      <family val="1"/>
    </font>
    <font>
      <sz val="11"/>
      <color theme="0"/>
      <name val="Garamond"/>
      <family val="1"/>
    </font>
    <font>
      <b/>
      <sz val="14"/>
      <color theme="1"/>
      <name val="Garamond"/>
      <family val="1"/>
    </font>
    <font>
      <b/>
      <sz val="12"/>
      <color theme="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7030A0"/>
      <name val="Garamond"/>
      <family val="1"/>
    </font>
    <font>
      <b/>
      <i/>
      <sz val="11"/>
      <color theme="1"/>
      <name val="Garamond"/>
      <family val="1"/>
    </font>
    <font>
      <b/>
      <sz val="10"/>
      <color theme="0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10"/>
      <color rgb="FF7030A0"/>
      <name val="Garamond"/>
      <family val="1"/>
    </font>
    <font>
      <sz val="10"/>
      <color theme="1"/>
      <name val="Garamond"/>
      <family val="1"/>
    </font>
    <font>
      <b/>
      <i/>
      <sz val="11"/>
      <name val="Garamond"/>
      <family val="1"/>
    </font>
    <font>
      <u/>
      <sz val="11"/>
      <name val="Garamond"/>
      <family val="1"/>
    </font>
    <font>
      <b/>
      <sz val="11"/>
      <color indexed="8"/>
      <name val="Garamond"/>
      <family val="1"/>
    </font>
    <font>
      <sz val="11"/>
      <color indexed="8"/>
      <name val="Garamond"/>
      <family val="1"/>
    </font>
    <font>
      <u/>
      <sz val="11"/>
      <color indexed="8"/>
      <name val="Garamond"/>
      <family val="1"/>
    </font>
    <font>
      <sz val="11"/>
      <color rgb="FFFFFFFF"/>
      <name val="Garamond"/>
      <family val="1"/>
    </font>
    <font>
      <sz val="11"/>
      <color rgb="FF000000"/>
      <name val="Garamond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A278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4" fontId="2" fillId="0" borderId="0" xfId="1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2" fillId="0" borderId="1" xfId="1" applyFont="1" applyBorder="1"/>
    <xf numFmtId="0" fontId="2" fillId="0" borderId="1" xfId="0" applyFont="1" applyBorder="1" applyAlignment="1">
      <alignment wrapText="1"/>
    </xf>
    <xf numFmtId="164" fontId="3" fillId="0" borderId="1" xfId="0" applyNumberFormat="1" applyFont="1" applyBorder="1"/>
    <xf numFmtId="0" fontId="7" fillId="0" borderId="0" xfId="0" applyFont="1" applyBorder="1"/>
    <xf numFmtId="2" fontId="2" fillId="0" borderId="0" xfId="0" applyNumberFormat="1" applyFont="1"/>
    <xf numFmtId="0" fontId="7" fillId="0" borderId="0" xfId="0" applyFont="1"/>
    <xf numFmtId="0" fontId="8" fillId="2" borderId="1" xfId="0" applyFont="1" applyFill="1" applyBorder="1"/>
    <xf numFmtId="0" fontId="5" fillId="2" borderId="1" xfId="0" applyFont="1" applyFill="1" applyBorder="1"/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/>
    <xf numFmtId="2" fontId="2" fillId="0" borderId="1" xfId="0" applyNumberFormat="1" applyFont="1" applyBorder="1"/>
    <xf numFmtId="0" fontId="3" fillId="0" borderId="1" xfId="0" applyFont="1" applyFill="1" applyBorder="1"/>
    <xf numFmtId="0" fontId="2" fillId="0" borderId="1" xfId="0" applyFont="1" applyFill="1" applyBorder="1"/>
    <xf numFmtId="2" fontId="3" fillId="0" borderId="1" xfId="0" applyNumberFormat="1" applyFont="1" applyBorder="1"/>
    <xf numFmtId="0" fontId="2" fillId="0" borderId="0" xfId="0" applyFont="1" applyBorder="1"/>
    <xf numFmtId="164" fontId="0" fillId="0" borderId="0" xfId="0" applyNumberFormat="1"/>
    <xf numFmtId="164" fontId="2" fillId="0" borderId="0" xfId="0" applyNumberFormat="1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9" fontId="9" fillId="0" borderId="1" xfId="0" applyNumberFormat="1" applyFont="1" applyBorder="1" applyAlignment="1">
      <alignment horizontal="right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/>
    <xf numFmtId="164" fontId="3" fillId="0" borderId="1" xfId="1" applyFont="1" applyBorder="1"/>
    <xf numFmtId="0" fontId="4" fillId="0" borderId="1" xfId="0" applyFont="1" applyBorder="1"/>
    <xf numFmtId="1" fontId="4" fillId="0" borderId="1" xfId="0" applyNumberFormat="1" applyFont="1" applyBorder="1"/>
    <xf numFmtId="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0" fontId="11" fillId="0" borderId="0" xfId="0" applyFont="1"/>
    <xf numFmtId="164" fontId="9" fillId="0" borderId="1" xfId="1" applyFont="1" applyBorder="1"/>
    <xf numFmtId="164" fontId="4" fillId="0" borderId="1" xfId="1" applyFont="1" applyBorder="1"/>
    <xf numFmtId="0" fontId="2" fillId="0" borderId="1" xfId="0" applyFont="1" applyBorder="1" applyAlignment="1">
      <alignment horizontal="center"/>
    </xf>
    <xf numFmtId="2" fontId="4" fillId="0" borderId="1" xfId="0" applyNumberFormat="1" applyFont="1" applyBorder="1"/>
    <xf numFmtId="164" fontId="2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164" fontId="13" fillId="0" borderId="1" xfId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164" fontId="14" fillId="0" borderId="1" xfId="1" applyFont="1" applyBorder="1" applyAlignment="1">
      <alignment horizontal="right" wrapText="1"/>
    </xf>
    <xf numFmtId="0" fontId="14" fillId="0" borderId="1" xfId="0" applyFont="1" applyFill="1" applyBorder="1" applyAlignment="1">
      <alignment horizontal="center" wrapText="1"/>
    </xf>
    <xf numFmtId="164" fontId="14" fillId="0" borderId="1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12" fillId="2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164" fontId="13" fillId="0" borderId="0" xfId="1" applyFont="1" applyAlignment="1">
      <alignment wrapText="1"/>
    </xf>
    <xf numFmtId="164" fontId="15" fillId="0" borderId="1" xfId="0" applyNumberFormat="1" applyFont="1" applyBorder="1" applyAlignment="1">
      <alignment wrapText="1"/>
    </xf>
    <xf numFmtId="164" fontId="13" fillId="0" borderId="0" xfId="0" applyNumberFormat="1" applyFont="1" applyAlignment="1">
      <alignment wrapText="1"/>
    </xf>
    <xf numFmtId="164" fontId="15" fillId="0" borderId="1" xfId="1" applyFont="1" applyBorder="1" applyAlignment="1">
      <alignment wrapText="1"/>
    </xf>
    <xf numFmtId="0" fontId="13" fillId="0" borderId="1" xfId="0" applyFont="1" applyFill="1" applyBorder="1" applyAlignment="1">
      <alignment horizontal="right" wrapText="1"/>
    </xf>
    <xf numFmtId="0" fontId="16" fillId="0" borderId="0" xfId="0" applyFont="1" applyAlignment="1">
      <alignment wrapText="1"/>
    </xf>
    <xf numFmtId="0" fontId="13" fillId="0" borderId="1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12" fillId="2" borderId="1" xfId="0" applyFont="1" applyFill="1" applyBorder="1" applyAlignment="1">
      <alignment horizontal="center" wrapText="1"/>
    </xf>
    <xf numFmtId="4" fontId="4" fillId="0" borderId="1" xfId="0" applyNumberFormat="1" applyFont="1" applyBorder="1"/>
    <xf numFmtId="164" fontId="4" fillId="0" borderId="1" xfId="0" applyNumberFormat="1" applyFont="1" applyBorder="1"/>
    <xf numFmtId="0" fontId="5" fillId="2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/>
    <xf numFmtId="0" fontId="17" fillId="0" borderId="1" xfId="0" applyFont="1" applyFill="1" applyBorder="1"/>
    <xf numFmtId="0" fontId="3" fillId="0" borderId="0" xfId="0" applyFont="1" applyAlignment="1"/>
    <xf numFmtId="10" fontId="2" fillId="0" borderId="0" xfId="0" applyNumberFormat="1" applyFont="1"/>
    <xf numFmtId="0" fontId="3" fillId="0" borderId="1" xfId="0" applyFont="1" applyBorder="1" applyAlignment="1">
      <alignment wrapText="1"/>
    </xf>
    <xf numFmtId="0" fontId="4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164" fontId="4" fillId="0" borderId="1" xfId="1" applyFont="1" applyFill="1" applyBorder="1"/>
    <xf numFmtId="164" fontId="9" fillId="0" borderId="1" xfId="1" applyFont="1" applyFill="1" applyBorder="1"/>
    <xf numFmtId="0" fontId="18" fillId="0" borderId="1" xfId="0" applyFont="1" applyFill="1" applyBorder="1"/>
    <xf numFmtId="164" fontId="9" fillId="0" borderId="1" xfId="1" applyFont="1" applyFill="1" applyBorder="1" applyAlignment="1">
      <alignment horizontal="right" vertical="top"/>
    </xf>
    <xf numFmtId="2" fontId="4" fillId="0" borderId="1" xfId="0" applyNumberFormat="1" applyFont="1" applyFill="1" applyBorder="1"/>
    <xf numFmtId="43" fontId="4" fillId="0" borderId="0" xfId="0" applyNumberFormat="1" applyFont="1" applyFill="1"/>
    <xf numFmtId="2" fontId="4" fillId="0" borderId="0" xfId="0" applyNumberFormat="1" applyFont="1" applyFill="1"/>
    <xf numFmtId="43" fontId="4" fillId="0" borderId="1" xfId="0" applyNumberFormat="1" applyFont="1" applyFill="1" applyBorder="1"/>
    <xf numFmtId="164" fontId="9" fillId="0" borderId="0" xfId="1" applyFont="1" applyFill="1" applyBorder="1"/>
    <xf numFmtId="164" fontId="4" fillId="0" borderId="0" xfId="0" applyNumberFormat="1" applyFont="1" applyFill="1"/>
    <xf numFmtId="164" fontId="4" fillId="0" borderId="0" xfId="1" applyFont="1" applyFill="1"/>
    <xf numFmtId="4" fontId="4" fillId="0" borderId="0" xfId="0" applyNumberFormat="1" applyFont="1" applyFill="1"/>
    <xf numFmtId="0" fontId="5" fillId="2" borderId="0" xfId="0" applyFont="1" applyFill="1"/>
    <xf numFmtId="10" fontId="5" fillId="2" borderId="0" xfId="0" applyNumberFormat="1" applyFont="1" applyFill="1"/>
    <xf numFmtId="9" fontId="5" fillId="2" borderId="0" xfId="0" applyNumberFormat="1" applyFont="1" applyFill="1"/>
    <xf numFmtId="2" fontId="8" fillId="2" borderId="1" xfId="0" applyNumberFormat="1" applyFont="1" applyFill="1" applyBorder="1"/>
    <xf numFmtId="0" fontId="4" fillId="0" borderId="0" xfId="0" applyFont="1"/>
    <xf numFmtId="0" fontId="19" fillId="0" borderId="1" xfId="0" applyFont="1" applyFill="1" applyBorder="1" applyAlignment="1">
      <alignment wrapText="1"/>
    </xf>
    <xf numFmtId="165" fontId="20" fillId="0" borderId="1" xfId="1" applyNumberFormat="1" applyFont="1" applyFill="1" applyBorder="1" applyAlignment="1">
      <alignment wrapText="1"/>
    </xf>
    <xf numFmtId="164" fontId="20" fillId="0" borderId="1" xfId="1" applyFont="1" applyFill="1" applyBorder="1" applyAlignment="1">
      <alignment horizontal="right" wrapText="1"/>
    </xf>
    <xf numFmtId="164" fontId="20" fillId="0" borderId="1" xfId="1" applyFont="1" applyFill="1" applyBorder="1" applyAlignment="1">
      <alignment wrapText="1"/>
    </xf>
    <xf numFmtId="164" fontId="19" fillId="0" borderId="1" xfId="1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right" wrapText="1"/>
    </xf>
    <xf numFmtId="164" fontId="19" fillId="0" borderId="1" xfId="1" applyFont="1" applyFill="1" applyBorder="1" applyAlignment="1">
      <alignment wrapText="1"/>
    </xf>
    <xf numFmtId="0" fontId="19" fillId="0" borderId="1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left" wrapText="1"/>
    </xf>
    <xf numFmtId="164" fontId="4" fillId="0" borderId="0" xfId="0" applyNumberFormat="1" applyFont="1"/>
    <xf numFmtId="165" fontId="4" fillId="0" borderId="0" xfId="0" applyNumberFormat="1" applyFont="1"/>
    <xf numFmtId="0" fontId="8" fillId="2" borderId="1" xfId="0" applyFont="1" applyFill="1" applyBorder="1" applyAlignment="1">
      <alignment wrapText="1"/>
    </xf>
    <xf numFmtId="0" fontId="9" fillId="0" borderId="0" xfId="0" applyFont="1"/>
    <xf numFmtId="10" fontId="4" fillId="0" borderId="0" xfId="0" applyNumberFormat="1" applyFont="1"/>
    <xf numFmtId="0" fontId="5" fillId="0" borderId="0" xfId="0" applyFont="1"/>
    <xf numFmtId="0" fontId="8" fillId="2" borderId="0" xfId="0" applyFont="1" applyFill="1" applyAlignment="1">
      <alignment horizontal="center"/>
    </xf>
    <xf numFmtId="9" fontId="4" fillId="0" borderId="1" xfId="2" applyFont="1" applyBorder="1"/>
    <xf numFmtId="0" fontId="9" fillId="4" borderId="1" xfId="0" applyFont="1" applyFill="1" applyBorder="1"/>
    <xf numFmtId="164" fontId="9" fillId="4" borderId="1" xfId="0" applyNumberFormat="1" applyFont="1" applyFill="1" applyBorder="1"/>
    <xf numFmtId="164" fontId="2" fillId="0" borderId="0" xfId="1" applyFont="1" applyBorder="1"/>
    <xf numFmtId="164" fontId="3" fillId="0" borderId="0" xfId="0" applyNumberFormat="1" applyFont="1" applyBorder="1"/>
    <xf numFmtId="0" fontId="4" fillId="0" borderId="0" xfId="0" applyFont="1" applyBorder="1"/>
    <xf numFmtId="0" fontId="8" fillId="2" borderId="0" xfId="0" applyFont="1" applyFill="1" applyBorder="1" applyAlignment="1">
      <alignment horizontal="center"/>
    </xf>
    <xf numFmtId="9" fontId="9" fillId="0" borderId="0" xfId="0" applyNumberFormat="1" applyFont="1" applyBorder="1" applyAlignment="1">
      <alignment horizontal="right"/>
    </xf>
    <xf numFmtId="0" fontId="9" fillId="0" borderId="0" xfId="0" applyFont="1" applyFill="1" applyBorder="1"/>
    <xf numFmtId="0" fontId="2" fillId="2" borderId="0" xfId="0" applyFont="1" applyFill="1" applyAlignment="1">
      <alignment horizontal="center"/>
    </xf>
    <xf numFmtId="0" fontId="8" fillId="2" borderId="0" xfId="0" applyFont="1" applyFill="1"/>
    <xf numFmtId="0" fontId="2" fillId="0" borderId="0" xfId="0" applyFont="1" applyAlignment="1">
      <alignment horizontal="right"/>
    </xf>
    <xf numFmtId="0" fontId="5" fillId="0" borderId="0" xfId="0" applyFont="1" applyFill="1" applyBorder="1"/>
    <xf numFmtId="0" fontId="9" fillId="5" borderId="1" xfId="0" applyFont="1" applyFill="1" applyBorder="1"/>
    <xf numFmtId="10" fontId="9" fillId="5" borderId="1" xfId="2" applyNumberFormat="1" applyFont="1" applyFill="1" applyBorder="1"/>
    <xf numFmtId="0" fontId="9" fillId="5" borderId="0" xfId="0" applyFont="1" applyFill="1"/>
    <xf numFmtId="10" fontId="9" fillId="5" borderId="0" xfId="2" applyNumberFormat="1" applyFont="1" applyFill="1"/>
    <xf numFmtId="10" fontId="9" fillId="5" borderId="0" xfId="0" applyNumberFormat="1" applyFont="1" applyFill="1"/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wrapText="1"/>
    </xf>
    <xf numFmtId="9" fontId="2" fillId="0" borderId="1" xfId="0" applyNumberFormat="1" applyFont="1" applyBorder="1" applyAlignment="1">
      <alignment wrapText="1"/>
    </xf>
    <xf numFmtId="10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6" fontId="2" fillId="0" borderId="0" xfId="2" applyNumberFormat="1" applyFont="1" applyAlignment="1">
      <alignment wrapText="1"/>
    </xf>
    <xf numFmtId="0" fontId="5" fillId="6" borderId="14" xfId="0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16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9" fillId="0" borderId="1" xfId="0" applyNumberFormat="1" applyFont="1" applyBorder="1"/>
    <xf numFmtId="0" fontId="5" fillId="2" borderId="0" xfId="0" applyFont="1" applyFill="1" applyAlignment="1">
      <alignment horizontal="center"/>
    </xf>
    <xf numFmtId="0" fontId="9" fillId="7" borderId="0" xfId="0" applyFont="1" applyFill="1"/>
    <xf numFmtId="164" fontId="9" fillId="7" borderId="0" xfId="1" applyFont="1" applyFill="1"/>
    <xf numFmtId="2" fontId="9" fillId="0" borderId="1" xfId="0" applyNumberFormat="1" applyFont="1" applyFill="1" applyBorder="1"/>
    <xf numFmtId="2" fontId="19" fillId="0" borderId="1" xfId="0" applyNumberFormat="1" applyFont="1" applyFill="1" applyBorder="1" applyAlignment="1">
      <alignment wrapText="1"/>
    </xf>
    <xf numFmtId="2" fontId="20" fillId="0" borderId="1" xfId="0" applyNumberFormat="1" applyFont="1" applyFill="1" applyBorder="1" applyAlignment="1">
      <alignment wrapText="1"/>
    </xf>
    <xf numFmtId="39" fontId="20" fillId="0" borderId="1" xfId="1" applyNumberFormat="1" applyFont="1" applyFill="1" applyBorder="1" applyAlignment="1">
      <alignment wrapText="1"/>
    </xf>
    <xf numFmtId="164" fontId="17" fillId="0" borderId="1" xfId="1" applyFont="1" applyFill="1" applyBorder="1"/>
    <xf numFmtId="2" fontId="4" fillId="0" borderId="1" xfId="0" applyNumberFormat="1" applyFont="1" applyFill="1" applyBorder="1" applyAlignment="1">
      <alignment horizontal="right"/>
    </xf>
    <xf numFmtId="164" fontId="4" fillId="0" borderId="1" xfId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2" fillId="8" borderId="1" xfId="0" applyFont="1" applyFill="1" applyBorder="1"/>
    <xf numFmtId="0" fontId="3" fillId="8" borderId="1" xfId="0" applyFont="1" applyFill="1" applyBorder="1"/>
    <xf numFmtId="0" fontId="2" fillId="8" borderId="1" xfId="0" applyFont="1" applyFill="1" applyBorder="1" applyAlignment="1">
      <alignment horizontal="center"/>
    </xf>
    <xf numFmtId="164" fontId="3" fillId="8" borderId="1" xfId="0" applyNumberFormat="1" applyFont="1" applyFill="1" applyBorder="1"/>
    <xf numFmtId="0" fontId="2" fillId="5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/>
    <xf numFmtId="0" fontId="11" fillId="0" borderId="1" xfId="0" applyFont="1" applyBorder="1" applyAlignment="1">
      <alignment horizontal="right"/>
    </xf>
    <xf numFmtId="0" fontId="3" fillId="5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1" fontId="2" fillId="0" borderId="1" xfId="0" applyNumberFormat="1" applyFont="1" applyBorder="1"/>
    <xf numFmtId="0" fontId="2" fillId="5" borderId="1" xfId="0" applyFont="1" applyFill="1" applyBorder="1" applyAlignment="1">
      <alignment wrapText="1"/>
    </xf>
    <xf numFmtId="165" fontId="2" fillId="5" borderId="1" xfId="0" applyNumberFormat="1" applyFont="1" applyFill="1" applyBorder="1"/>
    <xf numFmtId="164" fontId="2" fillId="5" borderId="1" xfId="0" applyNumberFormat="1" applyFont="1" applyFill="1" applyBorder="1"/>
    <xf numFmtId="164" fontId="3" fillId="5" borderId="1" xfId="1" applyFont="1" applyFill="1" applyBorder="1"/>
    <xf numFmtId="0" fontId="3" fillId="9" borderId="1" xfId="0" applyFont="1" applyFill="1" applyBorder="1" applyAlignment="1">
      <alignment horizontal="left" wrapText="1"/>
    </xf>
    <xf numFmtId="164" fontId="3" fillId="9" borderId="1" xfId="1" applyFont="1" applyFill="1" applyBorder="1"/>
    <xf numFmtId="0" fontId="3" fillId="9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Alignment="1">
      <alignment wrapText="1"/>
    </xf>
    <xf numFmtId="10" fontId="3" fillId="5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9" fontId="4" fillId="0" borderId="0" xfId="0" applyNumberFormat="1" applyFont="1"/>
    <xf numFmtId="0" fontId="20" fillId="0" borderId="0" xfId="0" applyFont="1"/>
    <xf numFmtId="4" fontId="20" fillId="0" borderId="0" xfId="0" applyNumberFormat="1" applyFont="1"/>
    <xf numFmtId="0" fontId="20" fillId="0" borderId="1" xfId="0" applyFont="1" applyBorder="1"/>
    <xf numFmtId="4" fontId="20" fillId="0" borderId="1" xfId="0" applyNumberFormat="1" applyFont="1" applyBorder="1"/>
    <xf numFmtId="0" fontId="19" fillId="0" borderId="1" xfId="0" applyFont="1" applyBorder="1"/>
    <xf numFmtId="2" fontId="20" fillId="0" borderId="1" xfId="0" applyNumberFormat="1" applyFont="1" applyBorder="1"/>
    <xf numFmtId="0" fontId="20" fillId="0" borderId="1" xfId="0" quotePrefix="1" applyFont="1" applyBorder="1" applyAlignment="1">
      <alignment horizontal="left"/>
    </xf>
    <xf numFmtId="4" fontId="2" fillId="0" borderId="1" xfId="0" applyNumberFormat="1" applyFont="1" applyBorder="1"/>
    <xf numFmtId="2" fontId="0" fillId="0" borderId="0" xfId="0" applyNumberFormat="1"/>
    <xf numFmtId="0" fontId="20" fillId="0" borderId="1" xfId="0" applyFont="1" applyBorder="1" applyAlignment="1">
      <alignment horizontal="center"/>
    </xf>
    <xf numFmtId="2" fontId="3" fillId="0" borderId="0" xfId="0" applyNumberFormat="1" applyFont="1"/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right"/>
    </xf>
    <xf numFmtId="0" fontId="21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1" xfId="0" applyFill="1" applyBorder="1"/>
    <xf numFmtId="0" fontId="19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10" fontId="2" fillId="0" borderId="1" xfId="2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center"/>
    </xf>
    <xf numFmtId="0" fontId="22" fillId="1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indent="1"/>
    </xf>
    <xf numFmtId="2" fontId="23" fillId="0" borderId="1" xfId="0" applyNumberFormat="1" applyFont="1" applyBorder="1" applyAlignment="1">
      <alignment horizontal="right" vertical="center" wrapText="1"/>
    </xf>
    <xf numFmtId="164" fontId="2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5" fillId="11" borderId="1" xfId="0" applyFont="1" applyFill="1" applyBorder="1"/>
    <xf numFmtId="0" fontId="25" fillId="0" borderId="1" xfId="0" applyFont="1" applyBorder="1"/>
    <xf numFmtId="167" fontId="25" fillId="0" borderId="1" xfId="1" applyNumberFormat="1" applyFont="1" applyBorder="1"/>
    <xf numFmtId="167" fontId="25" fillId="11" borderId="1" xfId="1" applyNumberFormat="1" applyFont="1" applyFill="1" applyBorder="1"/>
    <xf numFmtId="0" fontId="26" fillId="11" borderId="1" xfId="0" applyFont="1" applyFill="1" applyBorder="1"/>
    <xf numFmtId="167" fontId="26" fillId="11" borderId="1" xfId="1" applyNumberFormat="1" applyFont="1" applyFill="1" applyBorder="1"/>
    <xf numFmtId="0" fontId="25" fillId="0" borderId="0" xfId="0" applyFont="1"/>
    <xf numFmtId="167" fontId="25" fillId="0" borderId="0" xfId="1" applyNumberFormat="1" applyFont="1"/>
    <xf numFmtId="0" fontId="25" fillId="0" borderId="1" xfId="0" applyFont="1" applyFill="1" applyBorder="1"/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/>
    </xf>
    <xf numFmtId="10" fontId="2" fillId="0" borderId="0" xfId="2" applyNumberFormat="1" applyFont="1"/>
    <xf numFmtId="10" fontId="4" fillId="0" borderId="0" xfId="0" applyNumberFormat="1" applyFont="1" applyBorder="1"/>
    <xf numFmtId="1" fontId="25" fillId="0" borderId="1" xfId="0" applyNumberFormat="1" applyFont="1" applyBorder="1"/>
    <xf numFmtId="0" fontId="4" fillId="0" borderId="1" xfId="0" applyFont="1" applyBorder="1" applyAlignment="1">
      <alignment wrapText="1"/>
    </xf>
    <xf numFmtId="0" fontId="27" fillId="0" borderId="0" xfId="0" applyFont="1"/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64" fontId="2" fillId="0" borderId="3" xfId="1" applyFont="1" applyBorder="1" applyAlignment="1">
      <alignment vertical="center"/>
    </xf>
    <xf numFmtId="0" fontId="27" fillId="0" borderId="1" xfId="0" applyFont="1" applyBorder="1" applyAlignment="1">
      <alignment vertical="center" wrapText="1"/>
    </xf>
    <xf numFmtId="164" fontId="3" fillId="0" borderId="1" xfId="1" applyFont="1" applyBorder="1" applyAlignment="1">
      <alignment vertical="center"/>
    </xf>
    <xf numFmtId="0" fontId="27" fillId="0" borderId="9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right" vertical="center"/>
    </xf>
    <xf numFmtId="0" fontId="27" fillId="0" borderId="1" xfId="0" applyFont="1" applyBorder="1"/>
    <xf numFmtId="164" fontId="27" fillId="0" borderId="1" xfId="0" applyNumberFormat="1" applyFont="1" applyBorder="1"/>
    <xf numFmtId="9" fontId="13" fillId="0" borderId="1" xfId="0" applyNumberFormat="1" applyFont="1" applyBorder="1" applyAlignment="1">
      <alignment wrapText="1"/>
    </xf>
    <xf numFmtId="10" fontId="9" fillId="0" borderId="1" xfId="0" applyNumberFormat="1" applyFont="1" applyBorder="1" applyAlignment="1">
      <alignment horizontal="right"/>
    </xf>
    <xf numFmtId="2" fontId="3" fillId="5" borderId="1" xfId="0" applyNumberFormat="1" applyFont="1" applyFill="1" applyBorder="1"/>
    <xf numFmtId="0" fontId="27" fillId="0" borderId="1" xfId="0" applyFont="1" applyBorder="1" applyAlignment="1">
      <alignment wrapText="1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wrapText="1"/>
    </xf>
    <xf numFmtId="165" fontId="2" fillId="0" borderId="1" xfId="1" applyNumberFormat="1" applyFont="1" applyFill="1" applyBorder="1"/>
    <xf numFmtId="165" fontId="2" fillId="0" borderId="1" xfId="1" applyNumberFormat="1" applyFont="1" applyBorder="1"/>
    <xf numFmtId="164" fontId="13" fillId="0" borderId="1" xfId="1" applyFont="1" applyFill="1" applyBorder="1" applyAlignment="1">
      <alignment wrapText="1"/>
    </xf>
    <xf numFmtId="165" fontId="2" fillId="0" borderId="1" xfId="0" applyNumberFormat="1" applyFont="1" applyBorder="1"/>
    <xf numFmtId="0" fontId="8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5" fillId="2" borderId="4" xfId="0" applyFont="1" applyFill="1" applyBorder="1"/>
    <xf numFmtId="165" fontId="4" fillId="0" borderId="1" xfId="1" applyNumberFormat="1" applyFont="1" applyFill="1" applyBorder="1" applyAlignment="1">
      <alignment horizontal="right"/>
    </xf>
    <xf numFmtId="0" fontId="4" fillId="0" borderId="6" xfId="0" applyFont="1" applyFill="1" applyBorder="1"/>
    <xf numFmtId="0" fontId="4" fillId="0" borderId="0" xfId="0" applyFont="1" applyFill="1" applyBorder="1"/>
    <xf numFmtId="9" fontId="4" fillId="0" borderId="0" xfId="0" applyNumberFormat="1" applyFont="1" applyFill="1" applyBorder="1"/>
    <xf numFmtId="13" fontId="4" fillId="0" borderId="1" xfId="1" applyNumberFormat="1" applyFont="1" applyFill="1" applyBorder="1" applyAlignment="1">
      <alignment horizontal="right"/>
    </xf>
    <xf numFmtId="164" fontId="9" fillId="0" borderId="1" xfId="0" applyNumberFormat="1" applyFont="1" applyFill="1" applyBorder="1"/>
    <xf numFmtId="0" fontId="4" fillId="0" borderId="16" xfId="0" applyFont="1" applyFill="1" applyBorder="1"/>
    <xf numFmtId="0" fontId="4" fillId="0" borderId="7" xfId="0" applyFont="1" applyFill="1" applyBorder="1"/>
    <xf numFmtId="0" fontId="8" fillId="2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9" fontId="2" fillId="0" borderId="1" xfId="2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2" fontId="2" fillId="0" borderId="1" xfId="0" applyNumberFormat="1" applyFont="1" applyBorder="1" applyAlignment="1">
      <alignment wrapText="1"/>
    </xf>
    <xf numFmtId="0" fontId="3" fillId="0" borderId="8" xfId="0" applyFont="1" applyFill="1" applyBorder="1"/>
    <xf numFmtId="2" fontId="3" fillId="0" borderId="9" xfId="0" applyNumberFormat="1" applyFont="1" applyBorder="1"/>
    <xf numFmtId="0" fontId="13" fillId="0" borderId="9" xfId="0" applyFont="1" applyBorder="1" applyAlignment="1">
      <alignment wrapText="1"/>
    </xf>
    <xf numFmtId="0" fontId="13" fillId="0" borderId="2" xfId="0" applyFont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2" fontId="3" fillId="0" borderId="1" xfId="0" applyNumberFormat="1" applyFont="1" applyFill="1" applyBorder="1"/>
    <xf numFmtId="2" fontId="3" fillId="0" borderId="9" xfId="0" applyNumberFormat="1" applyFont="1" applyFill="1" applyBorder="1"/>
    <xf numFmtId="165" fontId="2" fillId="0" borderId="0" xfId="0" applyNumberFormat="1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2" fillId="0" borderId="4" xfId="1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6" borderId="3" xfId="0" applyFont="1" applyFill="1" applyBorder="1" applyAlignment="1">
      <alignment horizontal="center" wrapText="1"/>
    </xf>
    <xf numFmtId="0" fontId="5" fillId="6" borderId="17" xfId="0" applyFont="1" applyFill="1" applyBorder="1" applyAlignment="1">
      <alignment horizontal="center" wrapText="1"/>
    </xf>
    <xf numFmtId="0" fontId="5" fillId="6" borderId="8" xfId="0" applyFont="1" applyFill="1" applyBorder="1" applyAlignment="1">
      <alignment horizontal="center" wrapText="1"/>
    </xf>
    <xf numFmtId="0" fontId="5" fillId="6" borderId="9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" fontId="20" fillId="0" borderId="8" xfId="0" applyNumberFormat="1" applyFont="1" applyBorder="1" applyAlignment="1">
      <alignment horizontal="center"/>
    </xf>
    <xf numFmtId="4" fontId="20" fillId="0" borderId="9" xfId="0" applyNumberFormat="1" applyFont="1" applyBorder="1" applyAlignment="1">
      <alignment horizontal="center"/>
    </xf>
    <xf numFmtId="4" fontId="20" fillId="0" borderId="2" xfId="0" applyNumberFormat="1" applyFont="1" applyBorder="1" applyAlignment="1">
      <alignment horizontal="center"/>
    </xf>
    <xf numFmtId="2" fontId="19" fillId="5" borderId="8" xfId="0" applyNumberFormat="1" applyFont="1" applyFill="1" applyBorder="1" applyAlignment="1">
      <alignment horizontal="center"/>
    </xf>
    <xf numFmtId="2" fontId="19" fillId="5" borderId="9" xfId="0" applyNumberFormat="1" applyFont="1" applyFill="1" applyBorder="1" applyAlignment="1">
      <alignment horizontal="center"/>
    </xf>
    <xf numFmtId="2" fontId="19" fillId="5" borderId="2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4" fillId="11" borderId="16" xfId="0" applyFont="1" applyFill="1" applyBorder="1" applyAlignment="1">
      <alignment horizontal="center"/>
    </xf>
    <xf numFmtId="0" fontId="24" fillId="11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4" fillId="0" borderId="1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wrapText="1"/>
    </xf>
    <xf numFmtId="4" fontId="4" fillId="0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SMART%20Project/VSTF%20Cluster%20Projects/Ner%20Cluster/Ner%20Cluster%20Financials_SM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%20Reports/Kanchani%20FPCL/SMART/Kanchani-%20Market%20Access/Revised%2020.08.19/revised%20as%20per%20sanction%20-%20revised%20CC/Kanchani%20Financials%20-%202500%20MT%20warehouse%2004_03_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imn/Desktop/ADB/Baramati/Further%20Revised%20MSAMB%20Baramati%20Facility_BE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Revenue-Dairy Farm"/>
      <sheetName val="Revenue-Dairy Processing"/>
      <sheetName val="Project Cost"/>
      <sheetName val="summary1"/>
      <sheetName val="Assumptions"/>
      <sheetName val="Benefit to farmer"/>
      <sheetName val="C&amp; G"/>
      <sheetName val="Custom Hiring"/>
      <sheetName val="Revenue-Warehouse"/>
      <sheetName val="Opex"/>
      <sheetName val="Depreciation"/>
      <sheetName val="Interest"/>
      <sheetName val="Working Capital Requirement"/>
      <sheetName val="Tax"/>
      <sheetName val="Consolidated P&amp;L"/>
      <sheetName val="CF &amp; BS"/>
      <sheetName val="Ratios"/>
      <sheetName val="Sentivity Analysi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>
            <v>1</v>
          </cell>
          <cell r="D1">
            <v>1.03</v>
          </cell>
          <cell r="E1">
            <v>1.06</v>
          </cell>
          <cell r="F1">
            <v>1.0900000000000001</v>
          </cell>
          <cell r="G1">
            <v>1.1200000000000001</v>
          </cell>
          <cell r="H1">
            <v>1.1499999999999999</v>
          </cell>
          <cell r="I1">
            <v>1.18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ssumptions"/>
      <sheetName val="DELETED ITEMS"/>
      <sheetName val="Project Cost"/>
      <sheetName val="Summary"/>
      <sheetName val="Revenue-Dairy Farm"/>
      <sheetName val="Revenue-Dairy Processing"/>
      <sheetName val="C&amp; G"/>
      <sheetName val="Sale facilitation"/>
      <sheetName val="ginning"/>
      <sheetName val="ginning stock"/>
      <sheetName val="sale purchase"/>
      <sheetName val="Trading"/>
      <sheetName val="Custom Hiring"/>
      <sheetName val="warehouse"/>
      <sheetName val="Revenue-Warehouse"/>
      <sheetName val="Opex"/>
      <sheetName val="Depreciation"/>
      <sheetName val="Interest"/>
      <sheetName val="Working Capital Requirement"/>
      <sheetName val="Tax"/>
      <sheetName val="Consolidated P&amp;L"/>
      <sheetName val="CF &amp; BS"/>
      <sheetName val="Ratios"/>
      <sheetName val="Sentivity Analysis"/>
      <sheetName val="Sheet2"/>
    </sheetNames>
    <sheetDataSet>
      <sheetData sheetId="0" refreshError="1"/>
      <sheetData sheetId="1">
        <row r="3">
          <cell r="B3">
            <v>0.03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of Project"/>
      <sheetName val="Main Bldg Civil Works"/>
      <sheetName val="P&amp;M, Utilities and MHE"/>
      <sheetName val="Main Sheets Links"/>
      <sheetName val="Key Assumptions"/>
      <sheetName val="PC and MOF"/>
      <sheetName val="Depn"/>
      <sheetName val="Grapes Grading"/>
      <sheetName val="Banana Grading"/>
      <sheetName val="Pomo Grading"/>
      <sheetName val="PC and Cold Storage"/>
      <sheetName val="Arils Processing"/>
      <sheetName val="Beverage Proc."/>
      <sheetName val="Weighbridge Services"/>
      <sheetName val="Manpower"/>
      <sheetName val="Operating Days"/>
      <sheetName val="WC Assessment"/>
      <sheetName val="Interest"/>
      <sheetName val="Power"/>
      <sheetName val="Opex Sched"/>
      <sheetName val="P&amp;L"/>
      <sheetName val="Tax Schedule"/>
      <sheetName val="BS"/>
      <sheetName val="CF"/>
      <sheetName val="Ratios"/>
      <sheetName val="Sensitivity Analysis"/>
      <sheetName val="Without Project Analysis"/>
      <sheetName val="FPO VCO Benefit---&gt;"/>
      <sheetName val="Summary-Economic"/>
      <sheetName val="Pomo-FPO benefit"/>
      <sheetName val="Banana-FPO benefit"/>
      <sheetName val="Grapes-FPO Benefit"/>
      <sheetName val="Project Influence"/>
      <sheetName val="Prices and Yields"/>
      <sheetName val="Turnover of Service Us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D3">
            <v>4.9190283400809713</v>
          </cell>
        </row>
      </sheetData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52"/>
  <sheetViews>
    <sheetView tabSelected="1" view="pageBreakPreview" zoomScale="60" zoomScaleNormal="100" workbookViewId="0">
      <selection activeCell="R19" sqref="R19"/>
    </sheetView>
  </sheetViews>
  <sheetFormatPr defaultRowHeight="15" x14ac:dyDescent="0.25"/>
  <cols>
    <col min="1" max="1" width="9.140625" style="1"/>
    <col min="2" max="2" width="73.7109375" style="1" customWidth="1"/>
    <col min="3" max="3" width="12.85546875" style="1" bestFit="1" customWidth="1"/>
    <col min="4" max="16384" width="9.140625" style="1"/>
  </cols>
  <sheetData>
    <row r="6" spans="1:12" ht="45" x14ac:dyDescent="0.25">
      <c r="A6" s="139" t="s">
        <v>398</v>
      </c>
      <c r="B6" s="139" t="s">
        <v>399</v>
      </c>
      <c r="C6" s="140" t="s">
        <v>400</v>
      </c>
    </row>
    <row r="7" spans="1:12" x14ac:dyDescent="0.25">
      <c r="A7" s="139">
        <v>1</v>
      </c>
      <c r="B7" s="141" t="s">
        <v>401</v>
      </c>
      <c r="C7" s="260">
        <v>191.11</v>
      </c>
    </row>
    <row r="8" spans="1:12" x14ac:dyDescent="0.25">
      <c r="A8" s="142"/>
      <c r="B8" s="143" t="s">
        <v>653</v>
      </c>
      <c r="C8" s="322"/>
    </row>
    <row r="9" spans="1:12" x14ac:dyDescent="0.25">
      <c r="A9" s="142" t="s">
        <v>79</v>
      </c>
      <c r="B9" s="144" t="s">
        <v>654</v>
      </c>
      <c r="C9" s="322"/>
    </row>
    <row r="10" spans="1:12" x14ac:dyDescent="0.25">
      <c r="A10" s="142" t="s">
        <v>84</v>
      </c>
      <c r="B10" s="144" t="s">
        <v>673</v>
      </c>
      <c r="C10" s="322"/>
    </row>
    <row r="11" spans="1:12" x14ac:dyDescent="0.25">
      <c r="A11" s="249" t="s">
        <v>85</v>
      </c>
      <c r="B11" s="144" t="s">
        <v>655</v>
      </c>
      <c r="C11" s="322"/>
    </row>
    <row r="12" spans="1:12" x14ac:dyDescent="0.25">
      <c r="A12" s="249" t="s">
        <v>402</v>
      </c>
      <c r="B12" s="144" t="s">
        <v>656</v>
      </c>
      <c r="C12" s="322"/>
    </row>
    <row r="13" spans="1:12" x14ac:dyDescent="0.25">
      <c r="A13" s="249" t="s">
        <v>403</v>
      </c>
      <c r="B13" s="144" t="s">
        <v>657</v>
      </c>
      <c r="C13" s="322"/>
    </row>
    <row r="14" spans="1:12" x14ac:dyDescent="0.25">
      <c r="A14" s="249" t="s">
        <v>404</v>
      </c>
      <c r="B14" s="144" t="s">
        <v>658</v>
      </c>
      <c r="C14" s="322"/>
    </row>
    <row r="15" spans="1:12" x14ac:dyDescent="0.25">
      <c r="A15" s="142" t="s">
        <v>584</v>
      </c>
      <c r="B15" s="144" t="s">
        <v>659</v>
      </c>
      <c r="C15" s="322"/>
    </row>
    <row r="16" spans="1:12" x14ac:dyDescent="0.25">
      <c r="A16" s="270">
        <v>2</v>
      </c>
      <c r="B16" s="141" t="s">
        <v>660</v>
      </c>
      <c r="C16" s="260">
        <v>92</v>
      </c>
      <c r="L16" s="38"/>
    </row>
    <row r="17" spans="1:12" x14ac:dyDescent="0.25">
      <c r="A17" s="249" t="s">
        <v>79</v>
      </c>
      <c r="B17" s="144" t="s">
        <v>661</v>
      </c>
      <c r="C17" s="323"/>
      <c r="L17" s="38"/>
    </row>
    <row r="18" spans="1:12" x14ac:dyDescent="0.25">
      <c r="A18" s="249" t="s">
        <v>84</v>
      </c>
      <c r="B18" s="144" t="s">
        <v>662</v>
      </c>
      <c r="C18" s="324"/>
      <c r="L18" s="38"/>
    </row>
    <row r="19" spans="1:12" x14ac:dyDescent="0.25">
      <c r="A19" s="249" t="s">
        <v>85</v>
      </c>
      <c r="B19" s="144" t="s">
        <v>663</v>
      </c>
      <c r="C19" s="324"/>
    </row>
    <row r="20" spans="1:12" x14ac:dyDescent="0.25">
      <c r="A20" s="249" t="s">
        <v>402</v>
      </c>
      <c r="B20" s="144" t="s">
        <v>664</v>
      </c>
      <c r="C20" s="324"/>
    </row>
    <row r="21" spans="1:12" x14ac:dyDescent="0.25">
      <c r="A21" s="249" t="s">
        <v>403</v>
      </c>
      <c r="B21" s="144" t="s">
        <v>665</v>
      </c>
      <c r="C21" s="324"/>
    </row>
    <row r="22" spans="1:12" x14ac:dyDescent="0.25">
      <c r="A22" s="249" t="s">
        <v>404</v>
      </c>
      <c r="B22" s="144" t="s">
        <v>671</v>
      </c>
      <c r="C22" s="324"/>
    </row>
    <row r="23" spans="1:12" x14ac:dyDescent="0.25">
      <c r="A23" s="249" t="s">
        <v>584</v>
      </c>
      <c r="B23" s="144" t="s">
        <v>666</v>
      </c>
      <c r="C23" s="324"/>
    </row>
    <row r="24" spans="1:12" x14ac:dyDescent="0.25">
      <c r="A24" s="249" t="s">
        <v>606</v>
      </c>
      <c r="B24" s="144" t="s">
        <v>667</v>
      </c>
      <c r="C24" s="324"/>
    </row>
    <row r="25" spans="1:12" x14ac:dyDescent="0.25">
      <c r="A25" s="249" t="s">
        <v>607</v>
      </c>
      <c r="B25" s="144" t="s">
        <v>668</v>
      </c>
      <c r="C25" s="324"/>
    </row>
    <row r="26" spans="1:12" x14ac:dyDescent="0.25">
      <c r="A26" s="249" t="s">
        <v>608</v>
      </c>
      <c r="B26" s="144" t="s">
        <v>669</v>
      </c>
      <c r="C26" s="324"/>
    </row>
    <row r="27" spans="1:12" x14ac:dyDescent="0.25">
      <c r="A27" s="249" t="s">
        <v>609</v>
      </c>
      <c r="B27" s="144" t="s">
        <v>672</v>
      </c>
      <c r="C27" s="324"/>
    </row>
    <row r="28" spans="1:12" x14ac:dyDescent="0.25">
      <c r="A28" s="249" t="s">
        <v>645</v>
      </c>
      <c r="B28" s="144" t="s">
        <v>670</v>
      </c>
      <c r="C28" s="324"/>
    </row>
    <row r="29" spans="1:12" x14ac:dyDescent="0.25">
      <c r="A29" s="139">
        <v>3</v>
      </c>
      <c r="B29" s="274" t="s">
        <v>610</v>
      </c>
      <c r="C29" s="275">
        <v>10.039999999999999</v>
      </c>
    </row>
    <row r="30" spans="1:12" x14ac:dyDescent="0.25">
      <c r="A30" s="271" t="s">
        <v>79</v>
      </c>
      <c r="B30" s="269" t="s">
        <v>658</v>
      </c>
      <c r="C30" s="273"/>
    </row>
    <row r="31" spans="1:12" hidden="1" x14ac:dyDescent="0.25">
      <c r="A31" s="139">
        <v>4</v>
      </c>
      <c r="B31" s="276" t="s">
        <v>611</v>
      </c>
      <c r="C31" s="275">
        <v>0</v>
      </c>
    </row>
    <row r="32" spans="1:12" hidden="1" x14ac:dyDescent="0.25">
      <c r="A32" s="249" t="s">
        <v>79</v>
      </c>
      <c r="B32" s="272" t="s">
        <v>612</v>
      </c>
      <c r="C32" s="324"/>
    </row>
    <row r="33" spans="1:6" hidden="1" x14ac:dyDescent="0.25">
      <c r="A33" s="249" t="s">
        <v>84</v>
      </c>
      <c r="B33" s="269" t="s">
        <v>613</v>
      </c>
      <c r="C33" s="324"/>
    </row>
    <row r="34" spans="1:6" hidden="1" x14ac:dyDescent="0.25">
      <c r="A34" s="249" t="s">
        <v>85</v>
      </c>
      <c r="B34" s="6" t="s">
        <v>614</v>
      </c>
      <c r="C34" s="325"/>
    </row>
    <row r="35" spans="1:6" x14ac:dyDescent="0.25">
      <c r="A35" s="139">
        <v>4</v>
      </c>
      <c r="B35" s="141" t="s">
        <v>585</v>
      </c>
      <c r="C35" s="260">
        <v>0</v>
      </c>
    </row>
    <row r="36" spans="1:6" x14ac:dyDescent="0.25">
      <c r="A36" s="142" t="s">
        <v>79</v>
      </c>
      <c r="B36" s="144" t="s">
        <v>557</v>
      </c>
      <c r="C36" s="322"/>
    </row>
    <row r="37" spans="1:6" x14ac:dyDescent="0.25">
      <c r="A37" s="142" t="s">
        <v>84</v>
      </c>
      <c r="B37" s="144" t="s">
        <v>558</v>
      </c>
      <c r="C37" s="322"/>
    </row>
    <row r="38" spans="1:6" x14ac:dyDescent="0.25">
      <c r="A38" s="139">
        <v>5</v>
      </c>
      <c r="B38" s="141" t="s">
        <v>615</v>
      </c>
      <c r="C38" s="260">
        <v>4.38</v>
      </c>
    </row>
    <row r="39" spans="1:6" x14ac:dyDescent="0.25">
      <c r="A39" s="43" t="s">
        <v>79</v>
      </c>
      <c r="B39" s="144" t="s">
        <v>652</v>
      </c>
      <c r="C39" s="323"/>
    </row>
    <row r="40" spans="1:6" x14ac:dyDescent="0.25">
      <c r="A40" s="43" t="s">
        <v>84</v>
      </c>
      <c r="B40" s="144" t="s">
        <v>616</v>
      </c>
      <c r="C40" s="324"/>
    </row>
    <row r="41" spans="1:6" x14ac:dyDescent="0.25">
      <c r="A41" s="139">
        <v>6</v>
      </c>
      <c r="B41" s="141" t="s">
        <v>560</v>
      </c>
      <c r="C41" s="260">
        <f>+SUM(C7:C38)*5%</f>
        <v>14.876500000000002</v>
      </c>
    </row>
    <row r="42" spans="1:6" x14ac:dyDescent="0.25">
      <c r="A42" s="142"/>
      <c r="B42" s="145" t="s">
        <v>559</v>
      </c>
      <c r="C42" s="260">
        <f>SUM(C7:C41)</f>
        <v>312.40650000000005</v>
      </c>
      <c r="E42" s="1">
        <f>10+5.25+10.5+1.26</f>
        <v>27.01</v>
      </c>
      <c r="F42" s="25"/>
    </row>
    <row r="43" spans="1:6" x14ac:dyDescent="0.25">
      <c r="A43" s="146"/>
      <c r="B43" s="147"/>
      <c r="C43" s="148"/>
    </row>
    <row r="44" spans="1:6" x14ac:dyDescent="0.25">
      <c r="A44" s="146"/>
      <c r="B44" s="149" t="s">
        <v>586</v>
      </c>
      <c r="C44" s="277">
        <f>+'Project Glance'!B13</f>
        <v>3.0947385416666662</v>
      </c>
    </row>
    <row r="45" spans="1:6" x14ac:dyDescent="0.25">
      <c r="A45" s="320"/>
      <c r="B45" s="321"/>
      <c r="C45" s="150"/>
    </row>
    <row r="46" spans="1:6" x14ac:dyDescent="0.25">
      <c r="A46" s="139"/>
      <c r="B46" s="151"/>
      <c r="C46" s="139"/>
    </row>
    <row r="47" spans="1:6" x14ac:dyDescent="0.25">
      <c r="A47" s="152"/>
      <c r="B47" s="153"/>
      <c r="C47" s="152"/>
    </row>
    <row r="48" spans="1:6" x14ac:dyDescent="0.25">
      <c r="A48" s="154"/>
      <c r="B48" s="155"/>
      <c r="C48" s="154"/>
    </row>
    <row r="49" spans="1:3" x14ac:dyDescent="0.25">
      <c r="A49" s="152"/>
      <c r="B49" s="156"/>
      <c r="C49" s="152"/>
    </row>
    <row r="50" spans="1:3" x14ac:dyDescent="0.25">
      <c r="A50" s="152"/>
      <c r="B50" s="157"/>
      <c r="C50" s="158"/>
    </row>
    <row r="51" spans="1:3" x14ac:dyDescent="0.25">
      <c r="A51" s="23"/>
      <c r="B51" s="23"/>
      <c r="C51" s="23"/>
    </row>
    <row r="52" spans="1:3" x14ac:dyDescent="0.25">
      <c r="A52" s="23"/>
      <c r="B52" s="138"/>
      <c r="C52" s="23"/>
    </row>
  </sheetData>
  <mergeCells count="6">
    <mergeCell ref="A45:B45"/>
    <mergeCell ref="C8:C15"/>
    <mergeCell ref="C36:C37"/>
    <mergeCell ref="C39:C40"/>
    <mergeCell ref="C32:C34"/>
    <mergeCell ref="C17:C28"/>
  </mergeCells>
  <pageMargins left="0.7" right="0.7" top="0.75" bottom="0.75" header="0.3" footer="0.3"/>
  <pageSetup scale="94" orientation="portrait" horizontalDpi="90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view="pageBreakPreview" topLeftCell="A5" zoomScale="70" zoomScaleNormal="100" zoomScaleSheetLayoutView="70" workbookViewId="0">
      <selection activeCell="C3" sqref="C3"/>
    </sheetView>
  </sheetViews>
  <sheetFormatPr defaultRowHeight="15" x14ac:dyDescent="0.25"/>
  <cols>
    <col min="1" max="1" width="4" style="1" bestFit="1" customWidth="1"/>
    <col min="2" max="2" width="25.140625" style="1" bestFit="1" customWidth="1"/>
    <col min="3" max="6" width="12.28515625" style="1" bestFit="1" customWidth="1"/>
    <col min="7" max="7" width="13.42578125" style="1" bestFit="1" customWidth="1"/>
    <col min="8" max="8" width="12.5703125" style="1" bestFit="1" customWidth="1"/>
    <col min="9" max="12" width="13.42578125" style="1" bestFit="1" customWidth="1"/>
    <col min="13" max="16384" width="9.140625" style="1"/>
  </cols>
  <sheetData>
    <row r="1" spans="1:12" x14ac:dyDescent="0.25">
      <c r="A1" s="46" t="s">
        <v>77</v>
      </c>
      <c r="B1" s="15" t="s">
        <v>1</v>
      </c>
      <c r="C1" s="39" t="s">
        <v>36</v>
      </c>
      <c r="D1" s="39" t="s">
        <v>37</v>
      </c>
      <c r="E1" s="39" t="s">
        <v>38</v>
      </c>
      <c r="F1" s="39" t="s">
        <v>39</v>
      </c>
      <c r="G1" s="39" t="s">
        <v>40</v>
      </c>
      <c r="H1" s="39" t="s">
        <v>41</v>
      </c>
      <c r="I1" s="219" t="s">
        <v>42</v>
      </c>
      <c r="J1" s="219" t="s">
        <v>494</v>
      </c>
      <c r="K1" s="219" t="s">
        <v>495</v>
      </c>
      <c r="L1" s="219" t="s">
        <v>496</v>
      </c>
    </row>
    <row r="2" spans="1:12" x14ac:dyDescent="0.25">
      <c r="A2" s="7" t="s">
        <v>79</v>
      </c>
      <c r="B2" s="26" t="str">
        <f>'CS-FG'!B4</f>
        <v>Rice</v>
      </c>
      <c r="C2" s="36">
        <f>'CS-FG'!C7</f>
        <v>240</v>
      </c>
      <c r="D2" s="36">
        <f>'CS-FG'!D7</f>
        <v>273</v>
      </c>
      <c r="E2" s="36">
        <f>'CS-FG'!E7</f>
        <v>299</v>
      </c>
      <c r="F2" s="36">
        <f>'CS-FG'!F7</f>
        <v>324</v>
      </c>
      <c r="G2" s="36">
        <f>'CS-FG'!G7</f>
        <v>349</v>
      </c>
      <c r="H2" s="36">
        <f>'CS-FG'!H7</f>
        <v>374</v>
      </c>
      <c r="I2" s="36">
        <f>'CS-FG'!I7</f>
        <v>399</v>
      </c>
      <c r="J2" s="36">
        <f>'CS-FG'!J7</f>
        <v>424</v>
      </c>
      <c r="K2" s="36">
        <f>'CS-FG'!K7</f>
        <v>448</v>
      </c>
      <c r="L2" s="36">
        <f>'CS-FG'!L7</f>
        <v>474</v>
      </c>
    </row>
    <row r="3" spans="1:12" x14ac:dyDescent="0.25">
      <c r="A3" s="6"/>
      <c r="B3" s="36" t="s">
        <v>75</v>
      </c>
      <c r="C3" s="42">
        <f>'CS-FG'!C29</f>
        <v>45000</v>
      </c>
      <c r="D3" s="42">
        <f>'CS-FG'!D29</f>
        <v>47250</v>
      </c>
      <c r="E3" s="42">
        <f>'CS-FG'!E29</f>
        <v>49610</v>
      </c>
      <c r="F3" s="42">
        <f>'CS-FG'!F29</f>
        <v>52090</v>
      </c>
      <c r="G3" s="42">
        <f>'CS-FG'!G29</f>
        <v>54690</v>
      </c>
      <c r="H3" s="42">
        <f>'CS-FG'!H29</f>
        <v>57420</v>
      </c>
      <c r="I3" s="42">
        <f>'CS-FG'!I29</f>
        <v>60290</v>
      </c>
      <c r="J3" s="42">
        <f>'CS-FG'!J29</f>
        <v>63300</v>
      </c>
      <c r="K3" s="42">
        <f>'CS-FG'!K29</f>
        <v>66470</v>
      </c>
      <c r="L3" s="42">
        <f>'CS-FG'!L29</f>
        <v>69790</v>
      </c>
    </row>
    <row r="4" spans="1:12" x14ac:dyDescent="0.25">
      <c r="A4" s="6"/>
      <c r="B4" s="26" t="s">
        <v>88</v>
      </c>
      <c r="C4" s="41">
        <f>C2*C3/100000</f>
        <v>108</v>
      </c>
      <c r="D4" s="41">
        <f t="shared" ref="D4:I4" si="0">D2*D3/100000</f>
        <v>128.99250000000001</v>
      </c>
      <c r="E4" s="41">
        <f t="shared" si="0"/>
        <v>148.3339</v>
      </c>
      <c r="F4" s="41">
        <f t="shared" si="0"/>
        <v>168.77160000000001</v>
      </c>
      <c r="G4" s="41">
        <f t="shared" si="0"/>
        <v>190.8681</v>
      </c>
      <c r="H4" s="41">
        <f t="shared" si="0"/>
        <v>214.7508</v>
      </c>
      <c r="I4" s="41">
        <f t="shared" si="0"/>
        <v>240.55709999999999</v>
      </c>
      <c r="J4" s="41">
        <f t="shared" ref="J4:L4" si="1">J2*J3/100000</f>
        <v>268.392</v>
      </c>
      <c r="K4" s="41">
        <f t="shared" si="1"/>
        <v>297.78559999999999</v>
      </c>
      <c r="L4" s="41">
        <f t="shared" si="1"/>
        <v>330.80459999999999</v>
      </c>
    </row>
    <row r="5" spans="1:12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7" t="s">
        <v>84</v>
      </c>
      <c r="B6" s="26" t="str">
        <f>'CS-FG'!B10</f>
        <v>Husk</v>
      </c>
      <c r="C6" s="36">
        <f>'CS-FG'!C13</f>
        <v>96</v>
      </c>
      <c r="D6" s="36">
        <f>'CS-FG'!D13</f>
        <v>109</v>
      </c>
      <c r="E6" s="36">
        <f>'CS-FG'!E13</f>
        <v>120</v>
      </c>
      <c r="F6" s="36">
        <f>'CS-FG'!F13</f>
        <v>129</v>
      </c>
      <c r="G6" s="36">
        <f>'CS-FG'!G13</f>
        <v>140</v>
      </c>
      <c r="H6" s="36">
        <f>'CS-FG'!H13</f>
        <v>149</v>
      </c>
      <c r="I6" s="36">
        <f>'CS-FG'!I13</f>
        <v>160</v>
      </c>
      <c r="J6" s="36">
        <f>'CS-FG'!J13</f>
        <v>170</v>
      </c>
      <c r="K6" s="36">
        <f>'CS-FG'!K13</f>
        <v>179</v>
      </c>
      <c r="L6" s="36">
        <f>'CS-FG'!L13</f>
        <v>190</v>
      </c>
    </row>
    <row r="7" spans="1:12" x14ac:dyDescent="0.25">
      <c r="A7" s="6"/>
      <c r="B7" s="36" t="s">
        <v>75</v>
      </c>
      <c r="C7" s="42">
        <f>'CS-FG'!C30</f>
        <v>2000</v>
      </c>
      <c r="D7" s="42">
        <f>'CS-FG'!D30</f>
        <v>2100</v>
      </c>
      <c r="E7" s="42">
        <f>'CS-FG'!E30</f>
        <v>2210</v>
      </c>
      <c r="F7" s="42">
        <f>'CS-FG'!F30</f>
        <v>2320</v>
      </c>
      <c r="G7" s="42">
        <f>'CS-FG'!G30</f>
        <v>2440</v>
      </c>
      <c r="H7" s="42">
        <f>'CS-FG'!H30</f>
        <v>2560</v>
      </c>
      <c r="I7" s="42">
        <f>'CS-FG'!I30</f>
        <v>2690</v>
      </c>
      <c r="J7" s="42">
        <f>'CS-FG'!J30</f>
        <v>2820</v>
      </c>
      <c r="K7" s="42">
        <f>'CS-FG'!K30</f>
        <v>2960</v>
      </c>
      <c r="L7" s="42">
        <f>'CS-FG'!L30</f>
        <v>3110</v>
      </c>
    </row>
    <row r="8" spans="1:12" x14ac:dyDescent="0.25">
      <c r="A8" s="6"/>
      <c r="B8" s="26" t="s">
        <v>88</v>
      </c>
      <c r="C8" s="41">
        <f>C6*C7/100000</f>
        <v>1.92</v>
      </c>
      <c r="D8" s="41">
        <f t="shared" ref="D8:I8" si="2">D6*D7/100000</f>
        <v>2.2890000000000001</v>
      </c>
      <c r="E8" s="41">
        <f t="shared" si="2"/>
        <v>2.6520000000000001</v>
      </c>
      <c r="F8" s="41">
        <f t="shared" si="2"/>
        <v>2.9927999999999999</v>
      </c>
      <c r="G8" s="41">
        <f t="shared" si="2"/>
        <v>3.4159999999999999</v>
      </c>
      <c r="H8" s="41">
        <f t="shared" si="2"/>
        <v>3.8144</v>
      </c>
      <c r="I8" s="41">
        <f t="shared" si="2"/>
        <v>4.3040000000000003</v>
      </c>
      <c r="J8" s="41">
        <f t="shared" ref="J8:L8" si="3">J6*J7/100000</f>
        <v>4.7939999999999996</v>
      </c>
      <c r="K8" s="41">
        <f t="shared" si="3"/>
        <v>5.2984</v>
      </c>
      <c r="L8" s="41">
        <f t="shared" si="3"/>
        <v>5.9089999999999998</v>
      </c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x14ac:dyDescent="0.25">
      <c r="A10" s="7" t="s">
        <v>85</v>
      </c>
      <c r="B10" s="26" t="str">
        <f>'CS-FG'!B16</f>
        <v>Broken</v>
      </c>
      <c r="C10" s="36">
        <f>'CS-FG'!C19</f>
        <v>96</v>
      </c>
      <c r="D10" s="36">
        <f>'CS-FG'!D19</f>
        <v>109</v>
      </c>
      <c r="E10" s="36">
        <f>'CS-FG'!E19</f>
        <v>120</v>
      </c>
      <c r="F10" s="36">
        <f>'CS-FG'!F19</f>
        <v>129</v>
      </c>
      <c r="G10" s="36">
        <f>'CS-FG'!G19</f>
        <v>140</v>
      </c>
      <c r="H10" s="36">
        <f>'CS-FG'!H19</f>
        <v>149</v>
      </c>
      <c r="I10" s="36">
        <f>'CS-FG'!I19</f>
        <v>160</v>
      </c>
      <c r="J10" s="36">
        <f>'CS-FG'!J19</f>
        <v>170</v>
      </c>
      <c r="K10" s="36">
        <f>'CS-FG'!K19</f>
        <v>179</v>
      </c>
      <c r="L10" s="36">
        <f>'CS-FG'!L19</f>
        <v>190</v>
      </c>
    </row>
    <row r="11" spans="1:12" x14ac:dyDescent="0.25">
      <c r="A11" s="6"/>
      <c r="B11" s="36" t="s">
        <v>75</v>
      </c>
      <c r="C11" s="42">
        <f>'CS-FG'!C31</f>
        <v>18000</v>
      </c>
      <c r="D11" s="42">
        <f>'CS-FG'!D31</f>
        <v>18900</v>
      </c>
      <c r="E11" s="42">
        <f>'CS-FG'!E31</f>
        <v>19850</v>
      </c>
      <c r="F11" s="42">
        <f>'CS-FG'!F31</f>
        <v>20840</v>
      </c>
      <c r="G11" s="42">
        <f>'CS-FG'!G31</f>
        <v>21880</v>
      </c>
      <c r="H11" s="42">
        <f>'CS-FG'!H31</f>
        <v>22970</v>
      </c>
      <c r="I11" s="42">
        <f>'CS-FG'!I31</f>
        <v>24120</v>
      </c>
      <c r="J11" s="42">
        <f>'CS-FG'!J31</f>
        <v>25330</v>
      </c>
      <c r="K11" s="42">
        <f>'CS-FG'!K31</f>
        <v>26600</v>
      </c>
      <c r="L11" s="42">
        <f>'CS-FG'!L31</f>
        <v>27930</v>
      </c>
    </row>
    <row r="12" spans="1:12" x14ac:dyDescent="0.25">
      <c r="A12" s="6"/>
      <c r="B12" s="26" t="s">
        <v>88</v>
      </c>
      <c r="C12" s="41">
        <f>C10*C11/100000</f>
        <v>17.28</v>
      </c>
      <c r="D12" s="41">
        <f t="shared" ref="D12:I12" si="4">D10*D11/100000</f>
        <v>20.600999999999999</v>
      </c>
      <c r="E12" s="41">
        <f t="shared" si="4"/>
        <v>23.82</v>
      </c>
      <c r="F12" s="41">
        <f t="shared" si="4"/>
        <v>26.883600000000001</v>
      </c>
      <c r="G12" s="41">
        <f t="shared" si="4"/>
        <v>30.632000000000001</v>
      </c>
      <c r="H12" s="41">
        <f t="shared" si="4"/>
        <v>34.225299999999997</v>
      </c>
      <c r="I12" s="41">
        <f t="shared" si="4"/>
        <v>38.591999999999999</v>
      </c>
      <c r="J12" s="41">
        <f t="shared" ref="J12:L12" si="5">J10*J11/100000</f>
        <v>43.061</v>
      </c>
      <c r="K12" s="41">
        <f t="shared" si="5"/>
        <v>47.613999999999997</v>
      </c>
      <c r="L12" s="41">
        <f t="shared" si="5"/>
        <v>53.067</v>
      </c>
    </row>
    <row r="13" spans="1:12" x14ac:dyDescent="0.25">
      <c r="A13" s="6"/>
      <c r="B13" s="26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2" x14ac:dyDescent="0.25">
      <c r="A14" s="259" t="s">
        <v>85</v>
      </c>
      <c r="B14" s="26" t="str">
        <f>'CS-FG'!B22</f>
        <v>Bran</v>
      </c>
      <c r="C14" s="36">
        <f>'CS-FG'!C25</f>
        <v>38</v>
      </c>
      <c r="D14" s="36">
        <f>'CS-FG'!D25</f>
        <v>44</v>
      </c>
      <c r="E14" s="36">
        <f>'CS-FG'!E25</f>
        <v>48</v>
      </c>
      <c r="F14" s="36">
        <f>'CS-FG'!F25</f>
        <v>52</v>
      </c>
      <c r="G14" s="36">
        <f>'CS-FG'!G25</f>
        <v>56</v>
      </c>
      <c r="H14" s="36">
        <f>'CS-FG'!H25</f>
        <v>59</v>
      </c>
      <c r="I14" s="36">
        <f>'CS-FG'!I25</f>
        <v>64</v>
      </c>
      <c r="J14" s="36">
        <f>'CS-FG'!J25</f>
        <v>68</v>
      </c>
      <c r="K14" s="36">
        <f>'CS-FG'!K25</f>
        <v>72</v>
      </c>
      <c r="L14" s="36">
        <f>'CS-FG'!L25</f>
        <v>76</v>
      </c>
    </row>
    <row r="15" spans="1:12" x14ac:dyDescent="0.25">
      <c r="A15" s="6"/>
      <c r="B15" s="36" t="s">
        <v>75</v>
      </c>
      <c r="C15" s="42">
        <f>'CS-FG'!C32</f>
        <v>10000</v>
      </c>
      <c r="D15" s="42">
        <f>'CS-FG'!D32</f>
        <v>10500</v>
      </c>
      <c r="E15" s="42">
        <f>'CS-FG'!E32</f>
        <v>11030</v>
      </c>
      <c r="F15" s="42">
        <f>'CS-FG'!F32</f>
        <v>11580</v>
      </c>
      <c r="G15" s="42">
        <f>'CS-FG'!G32</f>
        <v>12160</v>
      </c>
      <c r="H15" s="42">
        <f>'CS-FG'!H32</f>
        <v>12770</v>
      </c>
      <c r="I15" s="42">
        <f>'CS-FG'!I32</f>
        <v>13410</v>
      </c>
      <c r="J15" s="42">
        <f>'CS-FG'!J32</f>
        <v>14080</v>
      </c>
      <c r="K15" s="42">
        <f>'CS-FG'!K32</f>
        <v>14780</v>
      </c>
      <c r="L15" s="42">
        <f>'CS-FG'!L32</f>
        <v>15520</v>
      </c>
    </row>
    <row r="16" spans="1:12" x14ac:dyDescent="0.25">
      <c r="A16" s="6"/>
      <c r="B16" s="26" t="s">
        <v>88</v>
      </c>
      <c r="C16" s="41">
        <f>C14*C15/100000</f>
        <v>3.8</v>
      </c>
      <c r="D16" s="41">
        <f t="shared" ref="D16:L16" si="6">D14*D15/100000</f>
        <v>4.62</v>
      </c>
      <c r="E16" s="41">
        <f t="shared" si="6"/>
        <v>5.2944000000000004</v>
      </c>
      <c r="F16" s="41">
        <f t="shared" si="6"/>
        <v>6.0216000000000003</v>
      </c>
      <c r="G16" s="41">
        <f t="shared" si="6"/>
        <v>6.8095999999999997</v>
      </c>
      <c r="H16" s="41">
        <f t="shared" si="6"/>
        <v>7.5343</v>
      </c>
      <c r="I16" s="41">
        <f t="shared" si="6"/>
        <v>8.5823999999999998</v>
      </c>
      <c r="J16" s="41">
        <f t="shared" si="6"/>
        <v>9.5744000000000007</v>
      </c>
      <c r="K16" s="41">
        <f t="shared" si="6"/>
        <v>10.6416</v>
      </c>
      <c r="L16" s="41">
        <f t="shared" si="6"/>
        <v>11.795199999999999</v>
      </c>
    </row>
    <row r="17" spans="1:12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2" x14ac:dyDescent="0.25">
      <c r="A18" s="6"/>
      <c r="B18" s="8" t="s">
        <v>89</v>
      </c>
      <c r="C18" s="11">
        <f>C12+C8+C4+C16</f>
        <v>131</v>
      </c>
      <c r="D18" s="11">
        <f t="shared" ref="D18:L18" si="7">D12+D8+D4+D16</f>
        <v>156.5025</v>
      </c>
      <c r="E18" s="11">
        <f t="shared" si="7"/>
        <v>180.1003</v>
      </c>
      <c r="F18" s="11">
        <f t="shared" si="7"/>
        <v>204.6696</v>
      </c>
      <c r="G18" s="11">
        <f t="shared" si="7"/>
        <v>231.72569999999999</v>
      </c>
      <c r="H18" s="11">
        <f t="shared" si="7"/>
        <v>260.32479999999998</v>
      </c>
      <c r="I18" s="11">
        <f t="shared" si="7"/>
        <v>292.03550000000001</v>
      </c>
      <c r="J18" s="11">
        <f t="shared" si="7"/>
        <v>325.82140000000004</v>
      </c>
      <c r="K18" s="11">
        <f t="shared" si="7"/>
        <v>361.33959999999996</v>
      </c>
      <c r="L18" s="11">
        <f t="shared" si="7"/>
        <v>401.57580000000002</v>
      </c>
    </row>
  </sheetData>
  <pageMargins left="0.7" right="0.7" top="0.75" bottom="0.75" header="0.3" footer="0.3"/>
  <pageSetup scale="5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>
      <selection activeCell="G10" sqref="G10:M10"/>
    </sheetView>
  </sheetViews>
  <sheetFormatPr defaultRowHeight="15" x14ac:dyDescent="0.25"/>
  <cols>
    <col min="1" max="1" width="24.5703125" style="5" bestFit="1" customWidth="1"/>
    <col min="2" max="2" width="6.28515625" style="5" customWidth="1"/>
    <col min="3" max="3" width="10.85546875" style="5" bestFit="1" customWidth="1"/>
    <col min="4" max="4" width="12" style="5" hidden="1" customWidth="1"/>
    <col min="5" max="5" width="11.42578125" style="5" bestFit="1" customWidth="1"/>
    <col min="6" max="6" width="12" style="5" customWidth="1"/>
    <col min="7" max="16384" width="9.140625" style="5"/>
  </cols>
  <sheetData>
    <row r="2" spans="1:13" ht="45" customHeight="1" x14ac:dyDescent="0.25">
      <c r="A2" s="164" t="s">
        <v>408</v>
      </c>
      <c r="B2" s="165" t="s">
        <v>409</v>
      </c>
      <c r="C2" s="166" t="s">
        <v>410</v>
      </c>
      <c r="D2" s="333" t="s">
        <v>411</v>
      </c>
      <c r="E2" s="333" t="s">
        <v>412</v>
      </c>
      <c r="F2" s="333" t="s">
        <v>413</v>
      </c>
      <c r="G2" s="335" t="s">
        <v>414</v>
      </c>
      <c r="H2" s="336"/>
      <c r="I2" s="336"/>
      <c r="J2" s="336"/>
      <c r="K2" s="336"/>
      <c r="L2" s="336"/>
      <c r="M2" s="337"/>
    </row>
    <row r="3" spans="1:13" x14ac:dyDescent="0.25">
      <c r="A3" s="167" t="s">
        <v>415</v>
      </c>
      <c r="B3" s="167"/>
      <c r="C3" s="168" t="s">
        <v>416</v>
      </c>
      <c r="D3" s="334"/>
      <c r="E3" s="334"/>
      <c r="F3" s="334"/>
      <c r="G3" s="169" t="s">
        <v>36</v>
      </c>
      <c r="H3" s="169" t="s">
        <v>37</v>
      </c>
      <c r="I3" s="169" t="s">
        <v>38</v>
      </c>
      <c r="J3" s="169" t="s">
        <v>39</v>
      </c>
      <c r="K3" s="169" t="s">
        <v>40</v>
      </c>
      <c r="L3" s="169" t="s">
        <v>41</v>
      </c>
      <c r="M3" s="169" t="s">
        <v>42</v>
      </c>
    </row>
    <row r="4" spans="1:13" x14ac:dyDescent="0.25">
      <c r="A4" s="159" t="s">
        <v>417</v>
      </c>
      <c r="B4" s="10"/>
      <c r="C4" s="10"/>
      <c r="D4" s="10"/>
      <c r="E4" s="10"/>
      <c r="F4" s="10"/>
      <c r="G4" s="160">
        <v>0.4</v>
      </c>
      <c r="H4" s="161">
        <v>0.5</v>
      </c>
      <c r="I4" s="161">
        <f t="shared" ref="I4:K4" si="0">+H4+5%</f>
        <v>0.55000000000000004</v>
      </c>
      <c r="J4" s="161">
        <f t="shared" si="0"/>
        <v>0.60000000000000009</v>
      </c>
      <c r="K4" s="161">
        <f t="shared" si="0"/>
        <v>0.65000000000000013</v>
      </c>
      <c r="L4" s="161">
        <f>+K4</f>
        <v>0.65000000000000013</v>
      </c>
      <c r="M4" s="161">
        <f>+L4</f>
        <v>0.65000000000000013</v>
      </c>
    </row>
    <row r="5" spans="1:13" x14ac:dyDescent="0.25">
      <c r="A5" s="10" t="s">
        <v>462</v>
      </c>
      <c r="B5" s="10">
        <v>1</v>
      </c>
      <c r="C5" s="10">
        <v>700</v>
      </c>
      <c r="D5" s="10"/>
      <c r="E5" s="10">
        <v>1500</v>
      </c>
      <c r="F5" s="10" t="s">
        <v>418</v>
      </c>
      <c r="G5" s="10">
        <f>(($B$5*$C$5*$E$5)/100000)*G4</f>
        <v>4.2</v>
      </c>
      <c r="H5" s="10">
        <f t="shared" ref="H5:M5" si="1">(($B$5*$C$5*$E$5)/100000)*H4</f>
        <v>5.25</v>
      </c>
      <c r="I5" s="10">
        <f t="shared" si="1"/>
        <v>5.7750000000000004</v>
      </c>
      <c r="J5" s="10">
        <f t="shared" si="1"/>
        <v>6.3000000000000007</v>
      </c>
      <c r="K5" s="10">
        <f t="shared" si="1"/>
        <v>6.8250000000000011</v>
      </c>
      <c r="L5" s="10">
        <f t="shared" si="1"/>
        <v>6.8250000000000011</v>
      </c>
      <c r="M5" s="10">
        <f t="shared" si="1"/>
        <v>6.8250000000000011</v>
      </c>
    </row>
    <row r="6" spans="1:13" x14ac:dyDescent="0.25">
      <c r="A6" s="10" t="s">
        <v>463</v>
      </c>
      <c r="B6" s="10">
        <v>2</v>
      </c>
      <c r="C6" s="10">
        <v>350</v>
      </c>
      <c r="D6" s="10"/>
      <c r="E6" s="10">
        <v>1000</v>
      </c>
      <c r="F6" s="10" t="s">
        <v>418</v>
      </c>
      <c r="G6" s="10">
        <f>(($B$6*$C$6*$E$6)/100000)*G4</f>
        <v>2.8000000000000003</v>
      </c>
      <c r="H6" s="10">
        <f t="shared" ref="H6:M6" si="2">(($B$6*$C$6*$E$6)/100000)*H4</f>
        <v>3.5</v>
      </c>
      <c r="I6" s="10">
        <f t="shared" si="2"/>
        <v>3.8500000000000005</v>
      </c>
      <c r="J6" s="10">
        <f t="shared" si="2"/>
        <v>4.2000000000000011</v>
      </c>
      <c r="K6" s="10">
        <f t="shared" si="2"/>
        <v>4.5500000000000007</v>
      </c>
      <c r="L6" s="10">
        <f t="shared" si="2"/>
        <v>4.5500000000000007</v>
      </c>
      <c r="M6" s="10">
        <f t="shared" si="2"/>
        <v>4.5500000000000007</v>
      </c>
    </row>
    <row r="7" spans="1:13" hidden="1" x14ac:dyDescent="0.25">
      <c r="A7" s="10" t="s">
        <v>419</v>
      </c>
      <c r="B7" s="10"/>
      <c r="C7" s="10"/>
      <c r="D7" s="10"/>
      <c r="E7" s="10"/>
      <c r="F7" s="10" t="s">
        <v>420</v>
      </c>
      <c r="G7" s="10">
        <f>+ROUND($C7*$D7*$E7*G$4*'[1]Consolidated P&amp;L'!C$1/100000,2)</f>
        <v>0</v>
      </c>
      <c r="H7" s="10">
        <f>+ROUND($C7*$D7*$E7*H$4*'[1]Consolidated P&amp;L'!D$1/100000,2)</f>
        <v>0</v>
      </c>
      <c r="I7" s="10">
        <f>+ROUND($C7*$D7*$E7*I$4*'[1]Consolidated P&amp;L'!E$1/100000,2)</f>
        <v>0</v>
      </c>
      <c r="J7" s="10">
        <f>+ROUND($C7*$D7*$E7*J$4*'[1]Consolidated P&amp;L'!F$1/100000,2)</f>
        <v>0</v>
      </c>
      <c r="K7" s="10">
        <f>+ROUND($C7*$D7*$E7*K$4*'[1]Consolidated P&amp;L'!G$1/100000,2)</f>
        <v>0</v>
      </c>
      <c r="L7" s="10">
        <f>+ROUND($C7*$D7*$E7*L$4*'[1]Consolidated P&amp;L'!H$1/100000,2)</f>
        <v>0</v>
      </c>
      <c r="M7" s="10">
        <f>+ROUND($C7*$D7*$E7*M$4*'[1]Consolidated P&amp;L'!I$1/100000,2)</f>
        <v>0</v>
      </c>
    </row>
    <row r="8" spans="1:13" hidden="1" x14ac:dyDescent="0.25">
      <c r="A8" s="10" t="s">
        <v>421</v>
      </c>
      <c r="B8" s="10"/>
      <c r="C8" s="10"/>
      <c r="D8" s="10"/>
      <c r="E8" s="10"/>
      <c r="F8" s="10" t="s">
        <v>422</v>
      </c>
      <c r="G8" s="10">
        <f>+ROUND($C8*$E8*G$4*'[1]Consolidated P&amp;L'!C$1/100000,2)</f>
        <v>0</v>
      </c>
      <c r="H8" s="10">
        <f>+ROUND($C8*$E8*H$4*'[1]Consolidated P&amp;L'!D$1/100000,2)</f>
        <v>0</v>
      </c>
      <c r="I8" s="10">
        <f>+ROUND($C8*$E8*I$4*'[1]Consolidated P&amp;L'!E$1/100000,2)</f>
        <v>0</v>
      </c>
      <c r="J8" s="10">
        <f>+ROUND($C8*$E8*J$4*'[1]Consolidated P&amp;L'!F$1/100000,2)</f>
        <v>0</v>
      </c>
      <c r="K8" s="10">
        <f>+ROUND($C8*$E8*K$4*'[1]Consolidated P&amp;L'!G$1/100000,2)</f>
        <v>0</v>
      </c>
      <c r="L8" s="10">
        <f>+ROUND($C8*$E8*L$4*'[1]Consolidated P&amp;L'!H$1/100000,2)</f>
        <v>0</v>
      </c>
      <c r="M8" s="10">
        <f>+ROUND($C8*$E8*M$4*'[1]Consolidated P&amp;L'!I$1/100000,2)</f>
        <v>0</v>
      </c>
    </row>
    <row r="9" spans="1:13" hidden="1" x14ac:dyDescent="0.25">
      <c r="A9" s="10" t="s">
        <v>423</v>
      </c>
      <c r="B9" s="10"/>
      <c r="C9" s="10"/>
      <c r="D9" s="10"/>
      <c r="E9" s="10"/>
      <c r="F9" s="10" t="s">
        <v>422</v>
      </c>
      <c r="G9" s="10">
        <f>+ROUND($C9*$E9*G$4*'[1]Consolidated P&amp;L'!C$1/100000,2)</f>
        <v>0</v>
      </c>
      <c r="H9" s="10">
        <f>+ROUND($C9*$E9*H$4*'[1]Consolidated P&amp;L'!D$1/100000,2)</f>
        <v>0</v>
      </c>
      <c r="I9" s="10">
        <f>+ROUND($C9*$E9*I$4*'[1]Consolidated P&amp;L'!E$1/100000,2)</f>
        <v>0</v>
      </c>
      <c r="J9" s="10">
        <f>+ROUND($C9*$E9*J$4*'[1]Consolidated P&amp;L'!F$1/100000,2)</f>
        <v>0</v>
      </c>
      <c r="K9" s="10">
        <f>+ROUND($C9*$E9*K$4*'[1]Consolidated P&amp;L'!G$1/100000,2)</f>
        <v>0</v>
      </c>
      <c r="L9" s="10">
        <f>+ROUND($C9*$E9*L$4*'[1]Consolidated P&amp;L'!H$1/100000,2)</f>
        <v>0</v>
      </c>
      <c r="M9" s="10">
        <f>+ROUND($C9*$E9*M$4*'[1]Consolidated P&amp;L'!I$1/100000,2)</f>
        <v>0</v>
      </c>
    </row>
    <row r="10" spans="1:13" x14ac:dyDescent="0.25">
      <c r="A10" s="80" t="s">
        <v>323</v>
      </c>
      <c r="B10" s="80"/>
      <c r="C10" s="80"/>
      <c r="D10" s="80"/>
      <c r="E10" s="80"/>
      <c r="F10" s="80"/>
      <c r="G10" s="162">
        <v>0</v>
      </c>
      <c r="H10" s="162">
        <v>0</v>
      </c>
      <c r="I10" s="162">
        <v>0</v>
      </c>
      <c r="J10" s="162">
        <v>0</v>
      </c>
      <c r="K10" s="162">
        <v>0</v>
      </c>
      <c r="L10" s="162">
        <v>0</v>
      </c>
      <c r="M10" s="162">
        <v>0</v>
      </c>
    </row>
    <row r="19" spans="4:4" x14ac:dyDescent="0.25">
      <c r="D19" s="163"/>
    </row>
  </sheetData>
  <mergeCells count="4">
    <mergeCell ref="D2:D3"/>
    <mergeCell ref="E2:E3"/>
    <mergeCell ref="F2:F3"/>
    <mergeCell ref="G2:M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B4" sqref="B4"/>
    </sheetView>
  </sheetViews>
  <sheetFormatPr defaultRowHeight="15" x14ac:dyDescent="0.25"/>
  <cols>
    <col min="1" max="1" width="24" customWidth="1"/>
  </cols>
  <sheetData>
    <row r="1" spans="1:13" x14ac:dyDescent="0.25">
      <c r="A1" s="61" t="s">
        <v>1</v>
      </c>
      <c r="B1" s="71" t="s">
        <v>36</v>
      </c>
      <c r="C1" s="71" t="s">
        <v>37</v>
      </c>
      <c r="D1" s="71" t="s">
        <v>38</v>
      </c>
      <c r="E1" s="71" t="s">
        <v>39</v>
      </c>
      <c r="F1" s="71" t="s">
        <v>40</v>
      </c>
      <c r="G1" s="71" t="s">
        <v>41</v>
      </c>
      <c r="H1" s="71" t="s">
        <v>42</v>
      </c>
    </row>
    <row r="2" spans="1:13" x14ac:dyDescent="0.25">
      <c r="A2" s="55"/>
      <c r="B2" s="51"/>
      <c r="C2" s="51"/>
      <c r="D2" s="51"/>
      <c r="E2" s="51"/>
      <c r="F2" s="51"/>
      <c r="G2" s="51"/>
      <c r="H2" s="51"/>
    </row>
    <row r="3" spans="1:13" s="53" customFormat="1" ht="64.5" x14ac:dyDescent="0.25">
      <c r="A3" s="51" t="s">
        <v>407</v>
      </c>
      <c r="B3" s="52">
        <v>0</v>
      </c>
      <c r="C3" s="52">
        <f>B3*1.05</f>
        <v>0</v>
      </c>
      <c r="D3" s="52">
        <f>C3*1.05</f>
        <v>0</v>
      </c>
      <c r="E3" s="52">
        <f t="shared" ref="E3:H3" si="0">D3*1.05</f>
        <v>0</v>
      </c>
      <c r="F3" s="52">
        <f t="shared" si="0"/>
        <v>0</v>
      </c>
      <c r="G3" s="52">
        <f t="shared" si="0"/>
        <v>0</v>
      </c>
      <c r="H3" s="52">
        <f t="shared" si="0"/>
        <v>0</v>
      </c>
      <c r="I3"/>
      <c r="K3" s="68"/>
      <c r="L3" s="68"/>
      <c r="M3" s="68"/>
    </row>
    <row r="5" spans="1:13" x14ac:dyDescent="0.25">
      <c r="A5" s="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topLeftCell="A2" zoomScaleNormal="100" zoomScaleSheetLayoutView="100" workbookViewId="0">
      <selection activeCell="B23" sqref="B23:K23"/>
    </sheetView>
  </sheetViews>
  <sheetFormatPr defaultRowHeight="15" x14ac:dyDescent="0.25"/>
  <cols>
    <col min="1" max="1" width="10.140625" bestFit="1" customWidth="1"/>
    <col min="2" max="2" width="34.7109375" bestFit="1" customWidth="1"/>
    <col min="3" max="3" width="8" bestFit="1" customWidth="1"/>
    <col min="4" max="4" width="4.140625" bestFit="1" customWidth="1"/>
    <col min="5" max="5" width="5.85546875" bestFit="1" customWidth="1"/>
    <col min="6" max="6" width="11.85546875" bestFit="1" customWidth="1"/>
    <col min="7" max="7" width="9.42578125" bestFit="1" customWidth="1"/>
    <col min="8" max="10" width="4.140625" bestFit="1" customWidth="1"/>
    <col min="11" max="11" width="4.85546875" bestFit="1" customWidth="1"/>
  </cols>
  <sheetData>
    <row r="1" spans="1:7" x14ac:dyDescent="0.25">
      <c r="A1" s="338" t="s">
        <v>90</v>
      </c>
      <c r="B1" s="338"/>
      <c r="C1" s="338"/>
      <c r="D1" s="338"/>
      <c r="E1" s="338"/>
      <c r="F1" s="338"/>
      <c r="G1" s="338"/>
    </row>
    <row r="2" spans="1:7" ht="26.25" x14ac:dyDescent="0.25">
      <c r="A2" s="47" t="s">
        <v>91</v>
      </c>
      <c r="B2" s="47" t="s">
        <v>1</v>
      </c>
      <c r="C2" s="48" t="s">
        <v>92</v>
      </c>
      <c r="D2" s="48"/>
      <c r="E2" s="48" t="s">
        <v>93</v>
      </c>
      <c r="F2" s="49" t="s">
        <v>94</v>
      </c>
      <c r="G2" s="49" t="s">
        <v>95</v>
      </c>
    </row>
    <row r="3" spans="1:7" x14ac:dyDescent="0.25">
      <c r="A3" s="50">
        <v>1</v>
      </c>
      <c r="B3" s="51" t="s">
        <v>96</v>
      </c>
      <c r="C3" s="50" t="s">
        <v>97</v>
      </c>
      <c r="D3" s="50" t="s">
        <v>556</v>
      </c>
      <c r="E3" s="50">
        <v>0</v>
      </c>
      <c r="F3" s="52">
        <v>40000</v>
      </c>
      <c r="G3" s="52">
        <f t="shared" ref="G3:G9" si="0">E3*F3*12/100000</f>
        <v>0</v>
      </c>
    </row>
    <row r="4" spans="1:7" x14ac:dyDescent="0.25">
      <c r="A4" s="50">
        <v>2</v>
      </c>
      <c r="B4" s="51" t="s">
        <v>98</v>
      </c>
      <c r="C4" s="50" t="s">
        <v>97</v>
      </c>
      <c r="D4" s="50" t="s">
        <v>404</v>
      </c>
      <c r="E4" s="50">
        <v>0</v>
      </c>
      <c r="F4" s="52">
        <v>18000</v>
      </c>
      <c r="G4" s="52">
        <f t="shared" si="0"/>
        <v>0</v>
      </c>
    </row>
    <row r="5" spans="1:7" x14ac:dyDescent="0.25">
      <c r="A5" s="50">
        <v>3</v>
      </c>
      <c r="B5" s="51" t="s">
        <v>99</v>
      </c>
      <c r="C5" s="50" t="s">
        <v>97</v>
      </c>
      <c r="D5" s="50" t="s">
        <v>404</v>
      </c>
      <c r="E5" s="50">
        <v>0</v>
      </c>
      <c r="F5" s="52">
        <v>18000</v>
      </c>
      <c r="G5" s="52">
        <f t="shared" si="0"/>
        <v>0</v>
      </c>
    </row>
    <row r="6" spans="1:7" x14ac:dyDescent="0.25">
      <c r="A6" s="50">
        <v>4</v>
      </c>
      <c r="B6" s="53" t="s">
        <v>100</v>
      </c>
      <c r="C6" s="50" t="s">
        <v>97</v>
      </c>
      <c r="D6" s="50" t="s">
        <v>556</v>
      </c>
      <c r="E6" s="50">
        <v>2</v>
      </c>
      <c r="F6" s="52">
        <v>10000</v>
      </c>
      <c r="G6" s="52">
        <f t="shared" si="0"/>
        <v>2.4</v>
      </c>
    </row>
    <row r="7" spans="1:7" x14ac:dyDescent="0.25">
      <c r="A7" s="50">
        <v>5</v>
      </c>
      <c r="B7" s="51" t="s">
        <v>101</v>
      </c>
      <c r="C7" s="50" t="s">
        <v>97</v>
      </c>
      <c r="D7" s="50" t="s">
        <v>556</v>
      </c>
      <c r="E7" s="50">
        <v>1</v>
      </c>
      <c r="F7" s="52">
        <v>8000</v>
      </c>
      <c r="G7" s="52">
        <f t="shared" si="0"/>
        <v>0.96</v>
      </c>
    </row>
    <row r="8" spans="1:7" x14ac:dyDescent="0.25">
      <c r="A8" s="50">
        <v>6</v>
      </c>
      <c r="B8" s="51" t="s">
        <v>102</v>
      </c>
      <c r="C8" s="50" t="s">
        <v>97</v>
      </c>
      <c r="D8" s="50" t="s">
        <v>404</v>
      </c>
      <c r="E8" s="50">
        <v>1</v>
      </c>
      <c r="F8" s="52">
        <v>8000</v>
      </c>
      <c r="G8" s="52">
        <f t="shared" si="0"/>
        <v>0.96</v>
      </c>
    </row>
    <row r="9" spans="1:7" x14ac:dyDescent="0.25">
      <c r="A9" s="50">
        <v>7</v>
      </c>
      <c r="B9" s="51" t="s">
        <v>103</v>
      </c>
      <c r="C9" s="50" t="s">
        <v>97</v>
      </c>
      <c r="D9" s="50" t="s">
        <v>556</v>
      </c>
      <c r="E9" s="50">
        <v>3</v>
      </c>
      <c r="F9" s="52">
        <v>6000</v>
      </c>
      <c r="G9" s="52">
        <f t="shared" si="0"/>
        <v>2.16</v>
      </c>
    </row>
    <row r="10" spans="1:7" x14ac:dyDescent="0.25">
      <c r="A10" s="50"/>
      <c r="B10" s="51"/>
      <c r="C10" s="50"/>
      <c r="D10" s="50"/>
      <c r="E10" s="50"/>
      <c r="F10" s="52"/>
      <c r="G10" s="52"/>
    </row>
    <row r="11" spans="1:7" x14ac:dyDescent="0.25">
      <c r="A11" s="50">
        <v>8</v>
      </c>
      <c r="B11" s="51" t="s">
        <v>157</v>
      </c>
      <c r="C11" s="50" t="s">
        <v>104</v>
      </c>
      <c r="D11" s="50" t="s">
        <v>556</v>
      </c>
      <c r="E11" s="50">
        <v>1</v>
      </c>
      <c r="F11" s="52">
        <v>18000</v>
      </c>
      <c r="G11" s="52">
        <f t="shared" ref="G11:G17" si="1">E11*F11*12/100000</f>
        <v>2.16</v>
      </c>
    </row>
    <row r="12" spans="1:7" x14ac:dyDescent="0.25">
      <c r="A12" s="50">
        <v>9</v>
      </c>
      <c r="B12" s="51" t="s">
        <v>105</v>
      </c>
      <c r="C12" s="50" t="s">
        <v>104</v>
      </c>
      <c r="D12" s="50" t="s">
        <v>556</v>
      </c>
      <c r="E12" s="50">
        <v>1</v>
      </c>
      <c r="F12" s="52">
        <v>15000</v>
      </c>
      <c r="G12" s="52">
        <f t="shared" si="1"/>
        <v>1.8</v>
      </c>
    </row>
    <row r="13" spans="1:7" x14ac:dyDescent="0.25">
      <c r="A13" s="50">
        <v>10</v>
      </c>
      <c r="B13" s="51" t="s">
        <v>106</v>
      </c>
      <c r="C13" s="50" t="s">
        <v>104</v>
      </c>
      <c r="D13" s="50" t="s">
        <v>556</v>
      </c>
      <c r="E13" s="50">
        <v>2</v>
      </c>
      <c r="F13" s="52">
        <v>12000</v>
      </c>
      <c r="G13" s="52">
        <f t="shared" si="1"/>
        <v>2.88</v>
      </c>
    </row>
    <row r="14" spans="1:7" x14ac:dyDescent="0.25">
      <c r="A14" s="50">
        <v>11</v>
      </c>
      <c r="B14" s="51" t="s">
        <v>622</v>
      </c>
      <c r="C14" s="50" t="s">
        <v>104</v>
      </c>
      <c r="D14" s="50" t="s">
        <v>556</v>
      </c>
      <c r="E14" s="50">
        <v>1</v>
      </c>
      <c r="F14" s="52">
        <v>9000</v>
      </c>
      <c r="G14" s="52">
        <f t="shared" si="1"/>
        <v>1.08</v>
      </c>
    </row>
    <row r="15" spans="1:7" x14ac:dyDescent="0.25">
      <c r="A15" s="50">
        <v>12</v>
      </c>
      <c r="B15" s="51" t="s">
        <v>444</v>
      </c>
      <c r="C15" s="50" t="s">
        <v>104</v>
      </c>
      <c r="D15" s="50"/>
      <c r="E15" s="50">
        <v>0</v>
      </c>
      <c r="F15" s="52">
        <v>8000</v>
      </c>
      <c r="G15" s="52">
        <f t="shared" si="1"/>
        <v>0</v>
      </c>
    </row>
    <row r="16" spans="1:7" x14ac:dyDescent="0.25">
      <c r="A16" s="50">
        <v>13</v>
      </c>
      <c r="B16" s="54" t="s">
        <v>107</v>
      </c>
      <c r="C16" s="50" t="s">
        <v>104</v>
      </c>
      <c r="D16" s="50" t="s">
        <v>556</v>
      </c>
      <c r="E16" s="50">
        <v>1</v>
      </c>
      <c r="F16" s="52">
        <v>8000</v>
      </c>
      <c r="G16" s="52">
        <f t="shared" si="1"/>
        <v>0.96</v>
      </c>
    </row>
    <row r="17" spans="1:11" x14ac:dyDescent="0.25">
      <c r="A17" s="50">
        <v>14</v>
      </c>
      <c r="B17" s="54" t="s">
        <v>108</v>
      </c>
      <c r="C17" s="50" t="s">
        <v>104</v>
      </c>
      <c r="D17" s="50" t="s">
        <v>556</v>
      </c>
      <c r="E17" s="50">
        <v>1</v>
      </c>
      <c r="F17" s="52">
        <v>8000</v>
      </c>
      <c r="G17" s="52">
        <f t="shared" si="1"/>
        <v>0.96</v>
      </c>
    </row>
    <row r="18" spans="1:11" x14ac:dyDescent="0.25">
      <c r="A18" s="51"/>
      <c r="B18" s="55" t="s">
        <v>29</v>
      </c>
      <c r="C18" s="50"/>
      <c r="D18" s="50"/>
      <c r="E18" s="56">
        <f>SUM(E3:E17)</f>
        <v>14</v>
      </c>
      <c r="F18" s="57"/>
      <c r="G18" s="57">
        <f>SUM(G3:G17)</f>
        <v>16.32</v>
      </c>
    </row>
    <row r="19" spans="1:11" x14ac:dyDescent="0.25">
      <c r="A19" s="51"/>
      <c r="B19" s="51"/>
      <c r="C19" s="50"/>
      <c r="D19" s="50"/>
      <c r="E19" s="50"/>
      <c r="F19" s="52"/>
      <c r="G19" s="52"/>
    </row>
    <row r="20" spans="1:11" x14ac:dyDescent="0.25">
      <c r="A20" s="51"/>
      <c r="B20" s="55" t="s">
        <v>109</v>
      </c>
      <c r="C20" s="50" t="s">
        <v>104</v>
      </c>
      <c r="D20" s="50"/>
      <c r="E20" s="58">
        <v>8</v>
      </c>
      <c r="F20" s="59" t="s">
        <v>110</v>
      </c>
      <c r="G20" s="59" t="s">
        <v>36</v>
      </c>
    </row>
    <row r="22" spans="1:11" x14ac:dyDescent="0.25">
      <c r="A22" s="18"/>
      <c r="B22" s="18" t="s">
        <v>36</v>
      </c>
      <c r="C22" s="18" t="s">
        <v>37</v>
      </c>
      <c r="D22" s="18" t="s">
        <v>38</v>
      </c>
      <c r="E22" s="18" t="s">
        <v>39</v>
      </c>
      <c r="F22" s="18" t="s">
        <v>40</v>
      </c>
      <c r="G22" s="18" t="s">
        <v>41</v>
      </c>
      <c r="H22" s="18" t="s">
        <v>42</v>
      </c>
      <c r="I22" s="18" t="s">
        <v>494</v>
      </c>
      <c r="J22" s="18" t="s">
        <v>495</v>
      </c>
      <c r="K22" s="18" t="s">
        <v>496</v>
      </c>
    </row>
    <row r="23" spans="1:11" x14ac:dyDescent="0.25">
      <c r="A23" s="55" t="s">
        <v>109</v>
      </c>
      <c r="B23" s="18">
        <f>+E20</f>
        <v>8</v>
      </c>
      <c r="C23" s="18">
        <f>ROUND(B23*1.1,0)</f>
        <v>9</v>
      </c>
      <c r="D23" s="18">
        <f t="shared" ref="D23:H23" si="2">ROUND(C23*1.1,0)</f>
        <v>10</v>
      </c>
      <c r="E23" s="18">
        <f t="shared" si="2"/>
        <v>11</v>
      </c>
      <c r="F23" s="18">
        <f t="shared" si="2"/>
        <v>12</v>
      </c>
      <c r="G23" s="18">
        <f t="shared" si="2"/>
        <v>13</v>
      </c>
      <c r="H23" s="18">
        <f t="shared" si="2"/>
        <v>14</v>
      </c>
      <c r="I23" s="238">
        <f>H23</f>
        <v>14</v>
      </c>
      <c r="J23" s="238">
        <f t="shared" ref="J23:K23" si="3">I23</f>
        <v>14</v>
      </c>
      <c r="K23" s="238">
        <f t="shared" si="3"/>
        <v>14</v>
      </c>
    </row>
    <row r="24" spans="1:11" x14ac:dyDescent="0.25">
      <c r="B24" s="1"/>
    </row>
  </sheetData>
  <mergeCells count="1">
    <mergeCell ref="A1:G1"/>
  </mergeCells>
  <pageMargins left="0.7" right="0.7" top="0.75" bottom="0.75" header="0.3" footer="0.3"/>
  <pageSetup scale="8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zoomScale="60" zoomScaleNormal="100" workbookViewId="0">
      <selection activeCell="A3" sqref="A3:L14"/>
    </sheetView>
  </sheetViews>
  <sheetFormatPr defaultRowHeight="15" x14ac:dyDescent="0.25"/>
  <cols>
    <col min="1" max="1" width="10.5703125" customWidth="1"/>
    <col min="2" max="2" width="33.42578125" bestFit="1" customWidth="1"/>
    <col min="3" max="3" width="9.42578125" bestFit="1" customWidth="1"/>
    <col min="4" max="4" width="9" bestFit="1" customWidth="1"/>
    <col min="5" max="8" width="9.42578125" bestFit="1" customWidth="1"/>
    <col min="9" max="10" width="9.85546875" bestFit="1" customWidth="1"/>
    <col min="11" max="12" width="9.42578125" bestFit="1" customWidth="1"/>
  </cols>
  <sheetData>
    <row r="1" spans="1:12" x14ac:dyDescent="0.25">
      <c r="A1" t="s">
        <v>623</v>
      </c>
    </row>
    <row r="3" spans="1:12" x14ac:dyDescent="0.25">
      <c r="A3" s="46" t="s">
        <v>77</v>
      </c>
      <c r="B3" s="15" t="s">
        <v>1</v>
      </c>
      <c r="C3" s="268" t="s">
        <v>36</v>
      </c>
      <c r="D3" s="268" t="s">
        <v>37</v>
      </c>
      <c r="E3" s="268" t="s">
        <v>38</v>
      </c>
      <c r="F3" s="268" t="s">
        <v>39</v>
      </c>
      <c r="G3" s="268" t="s">
        <v>40</v>
      </c>
      <c r="H3" s="268" t="s">
        <v>41</v>
      </c>
      <c r="I3" s="268" t="s">
        <v>42</v>
      </c>
      <c r="J3" s="268" t="s">
        <v>494</v>
      </c>
      <c r="K3" s="268" t="s">
        <v>495</v>
      </c>
      <c r="L3" s="268" t="s">
        <v>496</v>
      </c>
    </row>
    <row r="4" spans="1:12" x14ac:dyDescent="0.25">
      <c r="A4" s="267" t="s">
        <v>79</v>
      </c>
      <c r="B4" s="26" t="s">
        <v>624</v>
      </c>
      <c r="C4" s="36">
        <v>10</v>
      </c>
      <c r="D4" s="36">
        <f>+ROUND(C4*1.05,)</f>
        <v>11</v>
      </c>
      <c r="E4" s="36">
        <f t="shared" ref="E4:L4" si="0">+ROUND(D4*1.05,)</f>
        <v>12</v>
      </c>
      <c r="F4" s="36">
        <f t="shared" si="0"/>
        <v>13</v>
      </c>
      <c r="G4" s="36">
        <f t="shared" si="0"/>
        <v>14</v>
      </c>
      <c r="H4" s="36">
        <f t="shared" si="0"/>
        <v>15</v>
      </c>
      <c r="I4" s="36">
        <f t="shared" si="0"/>
        <v>16</v>
      </c>
      <c r="J4" s="36">
        <f t="shared" si="0"/>
        <v>17</v>
      </c>
      <c r="K4" s="36">
        <f t="shared" si="0"/>
        <v>18</v>
      </c>
      <c r="L4" s="36">
        <f t="shared" si="0"/>
        <v>19</v>
      </c>
    </row>
    <row r="5" spans="1:12" x14ac:dyDescent="0.25">
      <c r="A5" s="6"/>
      <c r="B5" s="36" t="s">
        <v>625</v>
      </c>
      <c r="C5" s="42">
        <f>+'Output Schedule'!B37</f>
        <v>126</v>
      </c>
      <c r="D5" s="42">
        <f>+'Output Schedule'!C37</f>
        <v>138</v>
      </c>
      <c r="E5" s="42">
        <f>+'Output Schedule'!D37</f>
        <v>150</v>
      </c>
      <c r="F5" s="42">
        <f>+'Output Schedule'!E37</f>
        <v>162</v>
      </c>
      <c r="G5" s="42">
        <f>+'Output Schedule'!F37</f>
        <v>176</v>
      </c>
      <c r="H5" s="42">
        <f>+'Output Schedule'!G37</f>
        <v>188</v>
      </c>
      <c r="I5" s="42">
        <f>+'Output Schedule'!H37</f>
        <v>200</v>
      </c>
      <c r="J5" s="42">
        <f>+'Output Schedule'!I37</f>
        <v>212</v>
      </c>
      <c r="K5" s="42">
        <f>+'Output Schedule'!J37</f>
        <v>226</v>
      </c>
      <c r="L5" s="42">
        <f>+'Output Schedule'!K37</f>
        <v>238</v>
      </c>
    </row>
    <row r="6" spans="1:12" x14ac:dyDescent="0.25">
      <c r="A6" s="6"/>
      <c r="B6" s="36" t="s">
        <v>629</v>
      </c>
      <c r="C6" s="42">
        <v>200</v>
      </c>
      <c r="D6" s="42">
        <f>+ROUND(C6*1.05,-1)</f>
        <v>210</v>
      </c>
      <c r="E6" s="42">
        <f t="shared" ref="E6:L6" si="1">+ROUND(D6*1.05,-1)</f>
        <v>220</v>
      </c>
      <c r="F6" s="42">
        <f t="shared" si="1"/>
        <v>230</v>
      </c>
      <c r="G6" s="42">
        <f t="shared" si="1"/>
        <v>240</v>
      </c>
      <c r="H6" s="42">
        <f t="shared" si="1"/>
        <v>250</v>
      </c>
      <c r="I6" s="42">
        <f t="shared" si="1"/>
        <v>260</v>
      </c>
      <c r="J6" s="42">
        <f t="shared" si="1"/>
        <v>270</v>
      </c>
      <c r="K6" s="42">
        <f t="shared" si="1"/>
        <v>280</v>
      </c>
      <c r="L6" s="42">
        <f t="shared" si="1"/>
        <v>290</v>
      </c>
    </row>
    <row r="7" spans="1:12" x14ac:dyDescent="0.25">
      <c r="A7" s="6"/>
      <c r="B7" s="26" t="s">
        <v>322</v>
      </c>
      <c r="C7" s="41">
        <f>+C4*C5*C6/100000</f>
        <v>2.52</v>
      </c>
      <c r="D7" s="41">
        <f t="shared" ref="D7:L7" si="2">+D4*D5*D6/100000</f>
        <v>3.1878000000000002</v>
      </c>
      <c r="E7" s="41">
        <f t="shared" si="2"/>
        <v>3.96</v>
      </c>
      <c r="F7" s="41">
        <f t="shared" si="2"/>
        <v>4.8437999999999999</v>
      </c>
      <c r="G7" s="41">
        <f t="shared" si="2"/>
        <v>5.9135999999999997</v>
      </c>
      <c r="H7" s="41">
        <f t="shared" si="2"/>
        <v>7.05</v>
      </c>
      <c r="I7" s="41">
        <f t="shared" si="2"/>
        <v>8.32</v>
      </c>
      <c r="J7" s="41">
        <f t="shared" si="2"/>
        <v>9.7308000000000003</v>
      </c>
      <c r="K7" s="41">
        <f t="shared" si="2"/>
        <v>11.3904</v>
      </c>
      <c r="L7" s="41">
        <f t="shared" si="2"/>
        <v>13.113799999999999</v>
      </c>
    </row>
    <row r="8" spans="1:12" x14ac:dyDescent="0.25">
      <c r="A8" s="6"/>
      <c r="B8" s="26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x14ac:dyDescent="0.25">
      <c r="A9" s="267" t="s">
        <v>84</v>
      </c>
      <c r="B9" s="26" t="s">
        <v>626</v>
      </c>
      <c r="C9" s="36">
        <v>10</v>
      </c>
      <c r="D9" s="36">
        <f>+ROUND(C9*1.05,)</f>
        <v>11</v>
      </c>
      <c r="E9" s="36">
        <f t="shared" ref="E9:L9" si="3">+ROUND(D9*1.05,)</f>
        <v>12</v>
      </c>
      <c r="F9" s="36">
        <f t="shared" si="3"/>
        <v>13</v>
      </c>
      <c r="G9" s="36">
        <f t="shared" si="3"/>
        <v>14</v>
      </c>
      <c r="H9" s="36">
        <f t="shared" si="3"/>
        <v>15</v>
      </c>
      <c r="I9" s="36">
        <f t="shared" si="3"/>
        <v>16</v>
      </c>
      <c r="J9" s="36">
        <f t="shared" si="3"/>
        <v>17</v>
      </c>
      <c r="K9" s="36">
        <f t="shared" si="3"/>
        <v>18</v>
      </c>
      <c r="L9" s="36">
        <f t="shared" si="3"/>
        <v>19</v>
      </c>
    </row>
    <row r="10" spans="1:12" x14ac:dyDescent="0.25">
      <c r="A10" s="6"/>
      <c r="B10" s="36" t="s">
        <v>625</v>
      </c>
      <c r="C10" s="42">
        <f>+C5</f>
        <v>126</v>
      </c>
      <c r="D10" s="42">
        <f t="shared" ref="D10:L10" si="4">+D5</f>
        <v>138</v>
      </c>
      <c r="E10" s="42">
        <f t="shared" si="4"/>
        <v>150</v>
      </c>
      <c r="F10" s="42">
        <f t="shared" si="4"/>
        <v>162</v>
      </c>
      <c r="G10" s="42">
        <f t="shared" si="4"/>
        <v>176</v>
      </c>
      <c r="H10" s="42">
        <f t="shared" si="4"/>
        <v>188</v>
      </c>
      <c r="I10" s="42">
        <f t="shared" si="4"/>
        <v>200</v>
      </c>
      <c r="J10" s="42">
        <f t="shared" si="4"/>
        <v>212</v>
      </c>
      <c r="K10" s="42">
        <f t="shared" si="4"/>
        <v>226</v>
      </c>
      <c r="L10" s="42">
        <f t="shared" si="4"/>
        <v>238</v>
      </c>
    </row>
    <row r="11" spans="1:12" x14ac:dyDescent="0.25">
      <c r="A11" s="6"/>
      <c r="B11" s="36" t="s">
        <v>629</v>
      </c>
      <c r="C11" s="42">
        <v>100</v>
      </c>
      <c r="D11" s="42">
        <f>+ROUND(C11*1.05,-1)</f>
        <v>110</v>
      </c>
      <c r="E11" s="42">
        <f t="shared" ref="E11:L11" si="5">+ROUND(D11*1.05,-1)</f>
        <v>120</v>
      </c>
      <c r="F11" s="42">
        <f t="shared" si="5"/>
        <v>130</v>
      </c>
      <c r="G11" s="42">
        <f t="shared" si="5"/>
        <v>140</v>
      </c>
      <c r="H11" s="42">
        <f t="shared" si="5"/>
        <v>150</v>
      </c>
      <c r="I11" s="42">
        <f t="shared" si="5"/>
        <v>160</v>
      </c>
      <c r="J11" s="42">
        <f t="shared" si="5"/>
        <v>170</v>
      </c>
      <c r="K11" s="42">
        <f t="shared" si="5"/>
        <v>180</v>
      </c>
      <c r="L11" s="42">
        <f t="shared" si="5"/>
        <v>190</v>
      </c>
    </row>
    <row r="12" spans="1:12" x14ac:dyDescent="0.25">
      <c r="A12" s="6"/>
      <c r="B12" s="26" t="s">
        <v>322</v>
      </c>
      <c r="C12" s="41">
        <f>+C9*C10*C11/100000</f>
        <v>1.26</v>
      </c>
      <c r="D12" s="41">
        <f t="shared" ref="D12" si="6">+D9*D10*D11/100000</f>
        <v>1.6698</v>
      </c>
      <c r="E12" s="41">
        <f t="shared" ref="E12" si="7">+E9*E10*E11/100000</f>
        <v>2.16</v>
      </c>
      <c r="F12" s="41">
        <f t="shared" ref="F12" si="8">+F9*F10*F11/100000</f>
        <v>2.7378</v>
      </c>
      <c r="G12" s="41">
        <f t="shared" ref="G12" si="9">+G9*G10*G11/100000</f>
        <v>3.4496000000000002</v>
      </c>
      <c r="H12" s="41">
        <f t="shared" ref="H12" si="10">+H9*H10*H11/100000</f>
        <v>4.2300000000000004</v>
      </c>
      <c r="I12" s="41">
        <f t="shared" ref="I12" si="11">+I9*I10*I11/100000</f>
        <v>5.12</v>
      </c>
      <c r="J12" s="41">
        <f t="shared" ref="J12" si="12">+J9*J10*J11/100000</f>
        <v>6.1268000000000002</v>
      </c>
      <c r="K12" s="41">
        <f t="shared" ref="K12" si="13">+K9*K10*K11/100000</f>
        <v>7.3224</v>
      </c>
      <c r="L12" s="41">
        <f t="shared" ref="L12" si="14">+L9*L10*L11/100000</f>
        <v>8.5917999999999992</v>
      </c>
    </row>
    <row r="13" spans="1:12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5">
      <c r="A14" s="18"/>
      <c r="B14" s="278" t="s">
        <v>627</v>
      </c>
      <c r="C14" s="279">
        <f>+C7+C12</f>
        <v>3.7800000000000002</v>
      </c>
      <c r="D14" s="279">
        <f t="shared" ref="D14:L14" si="15">+D7+D12</f>
        <v>4.8575999999999997</v>
      </c>
      <c r="E14" s="279">
        <f t="shared" si="15"/>
        <v>6.12</v>
      </c>
      <c r="F14" s="279">
        <f t="shared" si="15"/>
        <v>7.5815999999999999</v>
      </c>
      <c r="G14" s="279">
        <f t="shared" si="15"/>
        <v>9.3631999999999991</v>
      </c>
      <c r="H14" s="279">
        <f t="shared" si="15"/>
        <v>11.280000000000001</v>
      </c>
      <c r="I14" s="279">
        <f t="shared" si="15"/>
        <v>13.440000000000001</v>
      </c>
      <c r="J14" s="279">
        <f t="shared" si="15"/>
        <v>15.857600000000001</v>
      </c>
      <c r="K14" s="279">
        <f t="shared" si="15"/>
        <v>18.712800000000001</v>
      </c>
      <c r="L14" s="279">
        <f t="shared" si="15"/>
        <v>21.705599999999997</v>
      </c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opLeftCell="A13" workbookViewId="0">
      <selection activeCell="B13" sqref="B13:K18"/>
    </sheetView>
  </sheetViews>
  <sheetFormatPr defaultRowHeight="15" x14ac:dyDescent="0.25"/>
  <cols>
    <col min="1" max="1" width="35.140625" bestFit="1" customWidth="1"/>
    <col min="2" max="2" width="13.28515625" bestFit="1" customWidth="1"/>
  </cols>
  <sheetData>
    <row r="1" spans="1:11" ht="15.75" x14ac:dyDescent="0.25">
      <c r="A1" s="339" t="s">
        <v>675</v>
      </c>
      <c r="B1" s="339"/>
      <c r="C1" s="339"/>
      <c r="D1" s="339"/>
      <c r="E1" s="339"/>
      <c r="F1" s="339"/>
      <c r="G1" s="16"/>
      <c r="H1" s="16"/>
    </row>
    <row r="2" spans="1:11" ht="15.75" x14ac:dyDescent="0.25">
      <c r="A2" s="295"/>
      <c r="B2" s="295"/>
      <c r="C2" s="296"/>
      <c r="D2" s="296"/>
      <c r="E2" s="296"/>
      <c r="F2" s="296"/>
      <c r="G2" s="296"/>
      <c r="H2" s="296"/>
    </row>
    <row r="3" spans="1:11" x14ac:dyDescent="0.25">
      <c r="A3" s="33" t="s">
        <v>676</v>
      </c>
      <c r="B3" s="297">
        <v>1800</v>
      </c>
      <c r="C3" s="298"/>
      <c r="D3" s="299"/>
      <c r="E3" s="299"/>
      <c r="F3" s="299"/>
      <c r="G3" s="299"/>
      <c r="H3" s="299"/>
    </row>
    <row r="4" spans="1:11" x14ac:dyDescent="0.25">
      <c r="A4" s="76" t="s">
        <v>677</v>
      </c>
      <c r="B4" s="297">
        <v>1</v>
      </c>
      <c r="C4" s="298"/>
      <c r="D4" s="299"/>
      <c r="E4" s="299"/>
      <c r="F4" s="299"/>
      <c r="G4" s="299"/>
      <c r="H4" s="299"/>
    </row>
    <row r="5" spans="1:11" x14ac:dyDescent="0.25">
      <c r="A5" s="76" t="s">
        <v>678</v>
      </c>
      <c r="B5" s="297">
        <v>12</v>
      </c>
      <c r="C5" s="298"/>
      <c r="D5" s="299" t="s">
        <v>679</v>
      </c>
      <c r="E5" s="299"/>
      <c r="F5" s="299" t="s">
        <v>680</v>
      </c>
      <c r="G5" s="299" t="s">
        <v>29</v>
      </c>
      <c r="H5" s="299"/>
    </row>
    <row r="6" spans="1:11" x14ac:dyDescent="0.25">
      <c r="A6" s="76" t="s">
        <v>681</v>
      </c>
      <c r="B6" s="297">
        <f>B3*B4*B5</f>
        <v>21600</v>
      </c>
      <c r="C6" s="298"/>
      <c r="D6" s="299" t="s">
        <v>682</v>
      </c>
      <c r="E6" s="300">
        <v>0.6</v>
      </c>
      <c r="F6" s="299">
        <v>90</v>
      </c>
      <c r="G6" s="299">
        <f>+B6*E6*F6</f>
        <v>1166400</v>
      </c>
      <c r="H6" s="299"/>
    </row>
    <row r="7" spans="1:11" x14ac:dyDescent="0.25">
      <c r="A7" s="76" t="s">
        <v>683</v>
      </c>
      <c r="B7" s="301">
        <v>5.4545454545454543E-2</v>
      </c>
      <c r="C7" s="298"/>
      <c r="D7" s="299" t="s">
        <v>684</v>
      </c>
      <c r="E7" s="300">
        <v>0.4</v>
      </c>
      <c r="F7" s="299">
        <v>165</v>
      </c>
      <c r="G7" s="299">
        <f>+B6*E7*F7</f>
        <v>1425600</v>
      </c>
      <c r="H7" s="299"/>
    </row>
    <row r="8" spans="1:11" x14ac:dyDescent="0.25">
      <c r="A8" s="34" t="s">
        <v>685</v>
      </c>
      <c r="B8" s="302">
        <f>+G8</f>
        <v>2592000</v>
      </c>
      <c r="C8" s="298">
        <v>2592000</v>
      </c>
      <c r="D8" s="299"/>
      <c r="E8" s="299">
        <f>+C8-G8</f>
        <v>0</v>
      </c>
      <c r="F8" s="299"/>
      <c r="G8" s="299">
        <f>SUM(G6:G7)</f>
        <v>2592000</v>
      </c>
      <c r="H8" s="299"/>
    </row>
    <row r="9" spans="1:11" x14ac:dyDescent="0.25">
      <c r="A9" s="76"/>
      <c r="B9" s="76"/>
      <c r="C9" s="298"/>
      <c r="D9" s="299"/>
      <c r="E9" s="299"/>
      <c r="F9" s="299"/>
      <c r="G9" s="299"/>
      <c r="H9" s="299"/>
    </row>
    <row r="10" spans="1:11" x14ac:dyDescent="0.25">
      <c r="A10" s="76"/>
      <c r="B10" s="76"/>
      <c r="C10" s="303"/>
      <c r="D10" s="304"/>
      <c r="E10" s="304"/>
      <c r="F10" s="304"/>
      <c r="G10" s="304"/>
      <c r="H10" s="304"/>
    </row>
    <row r="11" spans="1:11" x14ac:dyDescent="0.25">
      <c r="A11" s="305" t="s">
        <v>1</v>
      </c>
      <c r="B11" s="294" t="s">
        <v>36</v>
      </c>
      <c r="C11" s="294" t="s">
        <v>37</v>
      </c>
      <c r="D11" s="294" t="s">
        <v>38</v>
      </c>
      <c r="E11" s="294" t="s">
        <v>39</v>
      </c>
      <c r="F11" s="294" t="s">
        <v>40</v>
      </c>
      <c r="G11" s="294" t="s">
        <v>41</v>
      </c>
      <c r="H11" s="294" t="s">
        <v>42</v>
      </c>
      <c r="I11" s="294" t="s">
        <v>494</v>
      </c>
      <c r="J11" s="294" t="s">
        <v>495</v>
      </c>
      <c r="K11" s="294" t="s">
        <v>496</v>
      </c>
    </row>
    <row r="12" spans="1:11" x14ac:dyDescent="0.25">
      <c r="A12" s="306" t="s">
        <v>686</v>
      </c>
      <c r="B12" s="307"/>
      <c r="C12" s="307"/>
      <c r="D12" s="307"/>
      <c r="E12" s="307"/>
      <c r="F12" s="307"/>
      <c r="G12" s="307"/>
      <c r="H12" s="307"/>
      <c r="I12" s="307"/>
      <c r="J12" s="307"/>
      <c r="K12" s="307"/>
    </row>
    <row r="13" spans="1:11" x14ac:dyDescent="0.25">
      <c r="A13" s="308" t="s">
        <v>687</v>
      </c>
      <c r="B13" s="307">
        <f>B8/100000*9/12</f>
        <v>19.440000000000001</v>
      </c>
      <c r="C13" s="307">
        <f>ROUND(B8*(1+[2]Assumptions!$B$3)/100000,)</f>
        <v>27</v>
      </c>
      <c r="D13" s="307">
        <f>ROUND(C13*(1+[2]Assumptions!$B$3),)</f>
        <v>28</v>
      </c>
      <c r="E13" s="307">
        <f>ROUND(D13*(1+[2]Assumptions!$B$3),)</f>
        <v>29</v>
      </c>
      <c r="F13" s="307">
        <f>ROUND(E13*(1+[2]Assumptions!$B$3),)</f>
        <v>30</v>
      </c>
      <c r="G13" s="307">
        <f>ROUND(F13*(1+[2]Assumptions!$B$3),)</f>
        <v>31</v>
      </c>
      <c r="H13" s="307">
        <f>ROUND(G13*(1+[2]Assumptions!$B$3),)</f>
        <v>32</v>
      </c>
      <c r="I13" s="307">
        <f>ROUND(H13*(1+[2]Assumptions!$B$3),)</f>
        <v>33</v>
      </c>
      <c r="J13" s="307">
        <f>ROUND(I13*(1+[2]Assumptions!$B$3),)</f>
        <v>34</v>
      </c>
      <c r="K13" s="307">
        <f>ROUND(J13*(1+[2]Assumptions!$B$3),)</f>
        <v>35</v>
      </c>
    </row>
    <row r="14" spans="1:11" x14ac:dyDescent="0.25">
      <c r="A14" s="308" t="s">
        <v>688</v>
      </c>
      <c r="B14" s="309">
        <v>0.7</v>
      </c>
      <c r="C14" s="309">
        <v>0.7</v>
      </c>
      <c r="D14" s="309">
        <f>+C14+5%</f>
        <v>0.75</v>
      </c>
      <c r="E14" s="309">
        <f>+D14+5%</f>
        <v>0.8</v>
      </c>
      <c r="F14" s="309">
        <f>+E14+5%</f>
        <v>0.85000000000000009</v>
      </c>
      <c r="G14" s="309">
        <f>+F14+5%</f>
        <v>0.90000000000000013</v>
      </c>
      <c r="H14" s="309">
        <f>+G14</f>
        <v>0.90000000000000013</v>
      </c>
      <c r="I14" s="309">
        <f>+H14</f>
        <v>0.90000000000000013</v>
      </c>
      <c r="J14" s="309">
        <f t="shared" ref="J14:K14" si="0">+I14</f>
        <v>0.90000000000000013</v>
      </c>
      <c r="K14" s="309">
        <f t="shared" si="0"/>
        <v>0.90000000000000013</v>
      </c>
    </row>
    <row r="15" spans="1:11" x14ac:dyDescent="0.25">
      <c r="A15" s="21" t="s">
        <v>689</v>
      </c>
      <c r="B15" s="9">
        <f>B13*B14</f>
        <v>13.608000000000001</v>
      </c>
      <c r="C15" s="9">
        <f>+C13*C14</f>
        <v>18.899999999999999</v>
      </c>
      <c r="D15" s="9">
        <f>+D13*D14</f>
        <v>21</v>
      </c>
      <c r="E15" s="9">
        <f t="shared" ref="E15:H15" si="1">+E13*E14</f>
        <v>23.200000000000003</v>
      </c>
      <c r="F15" s="9">
        <f t="shared" si="1"/>
        <v>25.500000000000004</v>
      </c>
      <c r="G15" s="9">
        <f t="shared" si="1"/>
        <v>27.900000000000006</v>
      </c>
      <c r="H15" s="9">
        <f t="shared" si="1"/>
        <v>28.800000000000004</v>
      </c>
      <c r="I15" s="9">
        <f t="shared" ref="I15:K15" si="2">+I13*I14</f>
        <v>29.700000000000003</v>
      </c>
      <c r="J15" s="9">
        <f t="shared" si="2"/>
        <v>30.600000000000005</v>
      </c>
      <c r="K15" s="9">
        <f t="shared" si="2"/>
        <v>31.500000000000004</v>
      </c>
    </row>
    <row r="16" spans="1:11" x14ac:dyDescent="0.25">
      <c r="A16" s="308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5">
      <c r="A17" s="306" t="s">
        <v>690</v>
      </c>
      <c r="B17" s="35">
        <f>SUM(B15:B16)</f>
        <v>13.608000000000001</v>
      </c>
      <c r="C17" s="35">
        <f>SUM(C15:C16)</f>
        <v>18.899999999999999</v>
      </c>
      <c r="D17" s="35">
        <f>SUM(D15:D16)</f>
        <v>21</v>
      </c>
      <c r="E17" s="35">
        <f>SUM(E15:E16)</f>
        <v>23.200000000000003</v>
      </c>
      <c r="F17" s="35">
        <f>SUM(F15:F16)</f>
        <v>25.500000000000004</v>
      </c>
      <c r="G17" s="35">
        <f t="shared" ref="G17:H17" si="3">SUM(G15:G16)</f>
        <v>27.900000000000006</v>
      </c>
      <c r="H17" s="35">
        <f t="shared" si="3"/>
        <v>28.800000000000004</v>
      </c>
      <c r="I17" s="35">
        <f t="shared" ref="I17:K17" si="4">SUM(I15:I16)</f>
        <v>29.700000000000003</v>
      </c>
      <c r="J17" s="35">
        <f t="shared" si="4"/>
        <v>30.600000000000005</v>
      </c>
      <c r="K17" s="35">
        <f t="shared" si="4"/>
        <v>31.500000000000004</v>
      </c>
    </row>
  </sheetData>
  <mergeCells count="1">
    <mergeCell ref="A1:F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0"/>
  <sheetViews>
    <sheetView view="pageBreakPreview" topLeftCell="A19" zoomScale="60" zoomScaleNormal="100" workbookViewId="0">
      <selection activeCell="A2" sqref="A2:L52"/>
    </sheetView>
  </sheetViews>
  <sheetFormatPr defaultColWidth="10.42578125" defaultRowHeight="12.75" x14ac:dyDescent="0.2"/>
  <cols>
    <col min="1" max="1" width="21" style="53" customWidth="1"/>
    <col min="2" max="2" width="14.85546875" style="53" customWidth="1"/>
    <col min="3" max="12" width="9.85546875" style="53" customWidth="1"/>
    <col min="13" max="13" width="12.5703125" style="53" bestFit="1" customWidth="1"/>
    <col min="14" max="14" width="13.140625" style="53" customWidth="1"/>
    <col min="15" max="15" width="14.140625" style="53" customWidth="1"/>
    <col min="16" max="16" width="4.42578125" style="53" bestFit="1" customWidth="1"/>
    <col min="17" max="17" width="9.85546875" style="53" bestFit="1" customWidth="1"/>
    <col min="18" max="26" width="9.42578125" style="53" customWidth="1"/>
    <col min="27" max="16384" width="10.42578125" style="53"/>
  </cols>
  <sheetData>
    <row r="2" spans="1:17" x14ac:dyDescent="0.2">
      <c r="A2" s="61" t="s">
        <v>1</v>
      </c>
      <c r="B2" s="61" t="s">
        <v>111</v>
      </c>
      <c r="C2" s="218" t="s">
        <v>36</v>
      </c>
      <c r="D2" s="218" t="s">
        <v>37</v>
      </c>
      <c r="E2" s="218" t="s">
        <v>38</v>
      </c>
      <c r="F2" s="218" t="s">
        <v>39</v>
      </c>
      <c r="G2" s="218" t="s">
        <v>40</v>
      </c>
      <c r="H2" s="218" t="s">
        <v>41</v>
      </c>
      <c r="I2" s="218" t="s">
        <v>42</v>
      </c>
      <c r="J2" s="218" t="s">
        <v>494</v>
      </c>
      <c r="K2" s="218" t="s">
        <v>495</v>
      </c>
      <c r="L2" s="218" t="s">
        <v>496</v>
      </c>
      <c r="N2" s="338" t="s">
        <v>112</v>
      </c>
      <c r="O2" s="338"/>
      <c r="P2" s="338"/>
      <c r="Q2" s="338"/>
    </row>
    <row r="3" spans="1:17" x14ac:dyDescent="0.2">
      <c r="A3" s="55"/>
      <c r="B3" s="55"/>
      <c r="C3" s="51"/>
      <c r="D3" s="51"/>
      <c r="E3" s="51"/>
      <c r="F3" s="51"/>
      <c r="G3" s="51"/>
      <c r="H3" s="51"/>
      <c r="I3" s="51"/>
      <c r="J3" s="51"/>
      <c r="K3" s="51"/>
      <c r="L3" s="51"/>
      <c r="N3" s="51">
        <v>5</v>
      </c>
      <c r="O3" s="51">
        <v>200</v>
      </c>
      <c r="P3" s="51">
        <v>12</v>
      </c>
      <c r="Q3" s="62">
        <f>N3*O3*P3</f>
        <v>12000</v>
      </c>
    </row>
    <row r="4" spans="1:17" x14ac:dyDescent="0.2">
      <c r="A4" s="340" t="s">
        <v>113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2"/>
      <c r="N4" s="51"/>
      <c r="O4" s="51"/>
      <c r="P4" s="51"/>
      <c r="Q4" s="62"/>
    </row>
    <row r="5" spans="1:17" x14ac:dyDescent="0.2">
      <c r="A5" s="62" t="s">
        <v>114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N5" s="51">
        <v>145</v>
      </c>
      <c r="O5" s="51">
        <v>200</v>
      </c>
      <c r="P5" s="51">
        <v>12</v>
      </c>
      <c r="Q5" s="51">
        <f>N5*O5*P5</f>
        <v>348000</v>
      </c>
    </row>
    <row r="6" spans="1:17" x14ac:dyDescent="0.2">
      <c r="A6" s="51" t="s">
        <v>115</v>
      </c>
      <c r="B6" s="51" t="s">
        <v>116</v>
      </c>
      <c r="C6" s="52">
        <f>2000*12/100000</f>
        <v>0.24</v>
      </c>
      <c r="D6" s="52">
        <f t="shared" ref="D6:I16" si="0">C6*1.05</f>
        <v>0.252</v>
      </c>
      <c r="E6" s="52">
        <f t="shared" si="0"/>
        <v>0.2646</v>
      </c>
      <c r="F6" s="52">
        <f t="shared" si="0"/>
        <v>0.27783000000000002</v>
      </c>
      <c r="G6" s="52">
        <f t="shared" si="0"/>
        <v>0.29172150000000002</v>
      </c>
      <c r="H6" s="52">
        <f t="shared" si="0"/>
        <v>0.30630757500000005</v>
      </c>
      <c r="I6" s="52">
        <f t="shared" si="0"/>
        <v>0.32162295375000005</v>
      </c>
      <c r="J6" s="52">
        <f t="shared" ref="J6:J16" si="1">I6*1.05</f>
        <v>0.33770410143750007</v>
      </c>
      <c r="K6" s="52">
        <f t="shared" ref="K6:K16" si="2">J6*1.05</f>
        <v>0.35458930650937509</v>
      </c>
      <c r="L6" s="52">
        <f t="shared" ref="L6:L16" si="3">K6*1.05</f>
        <v>0.37231877183484385</v>
      </c>
      <c r="M6" s="63"/>
      <c r="N6" s="340" t="s">
        <v>117</v>
      </c>
      <c r="O6" s="341"/>
      <c r="P6" s="341"/>
      <c r="Q6" s="342"/>
    </row>
    <row r="7" spans="1:17" x14ac:dyDescent="0.2">
      <c r="A7" s="51" t="s">
        <v>118</v>
      </c>
      <c r="B7" s="51" t="s">
        <v>598</v>
      </c>
      <c r="C7" s="52">
        <f>1000*12/100000</f>
        <v>0.12</v>
      </c>
      <c r="D7" s="52">
        <f t="shared" si="0"/>
        <v>0.126</v>
      </c>
      <c r="E7" s="52">
        <f t="shared" si="0"/>
        <v>0.1323</v>
      </c>
      <c r="F7" s="52">
        <f t="shared" si="0"/>
        <v>0.13891500000000001</v>
      </c>
      <c r="G7" s="52">
        <f t="shared" si="0"/>
        <v>0.14586075000000001</v>
      </c>
      <c r="H7" s="52">
        <f t="shared" si="0"/>
        <v>0.15315378750000003</v>
      </c>
      <c r="I7" s="52">
        <f t="shared" si="0"/>
        <v>0.16081147687500003</v>
      </c>
      <c r="J7" s="52">
        <f t="shared" si="1"/>
        <v>0.16885205071875004</v>
      </c>
      <c r="K7" s="52">
        <f t="shared" si="2"/>
        <v>0.17729465325468755</v>
      </c>
      <c r="L7" s="52">
        <f t="shared" si="3"/>
        <v>0.18615938591742193</v>
      </c>
      <c r="M7" s="63"/>
      <c r="N7" s="51">
        <f>N5+N3</f>
        <v>150</v>
      </c>
      <c r="O7" s="51"/>
      <c r="P7" s="51"/>
      <c r="Q7" s="51"/>
    </row>
    <row r="8" spans="1:17" x14ac:dyDescent="0.2">
      <c r="A8" s="51" t="s">
        <v>597</v>
      </c>
      <c r="B8" s="51" t="s">
        <v>701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63"/>
      <c r="N8" s="51"/>
      <c r="O8" s="51"/>
      <c r="P8" s="51"/>
      <c r="Q8" s="51"/>
    </row>
    <row r="9" spans="1:17" x14ac:dyDescent="0.2">
      <c r="A9" s="51" t="s">
        <v>119</v>
      </c>
      <c r="B9" s="51" t="s">
        <v>120</v>
      </c>
      <c r="C9" s="52">
        <v>0.15</v>
      </c>
      <c r="D9" s="52">
        <f t="shared" si="0"/>
        <v>0.1575</v>
      </c>
      <c r="E9" s="52">
        <f t="shared" si="0"/>
        <v>0.16537500000000002</v>
      </c>
      <c r="F9" s="52">
        <f t="shared" si="0"/>
        <v>0.17364375000000004</v>
      </c>
      <c r="G9" s="52">
        <f t="shared" si="0"/>
        <v>0.18232593750000006</v>
      </c>
      <c r="H9" s="52">
        <f t="shared" si="0"/>
        <v>0.19144223437500008</v>
      </c>
      <c r="I9" s="52">
        <f t="shared" si="0"/>
        <v>0.2010143460937501</v>
      </c>
      <c r="J9" s="52">
        <f t="shared" si="1"/>
        <v>0.21106506339843761</v>
      </c>
      <c r="K9" s="52">
        <f t="shared" si="2"/>
        <v>0.22161831656835951</v>
      </c>
      <c r="L9" s="52">
        <f t="shared" si="3"/>
        <v>0.23269923239677751</v>
      </c>
      <c r="M9" s="63"/>
      <c r="N9" s="51">
        <v>0.8</v>
      </c>
      <c r="O9" s="51"/>
      <c r="P9" s="51"/>
      <c r="Q9" s="51"/>
    </row>
    <row r="10" spans="1:17" ht="25.5" x14ac:dyDescent="0.2">
      <c r="A10" s="51" t="s">
        <v>121</v>
      </c>
      <c r="B10" s="51" t="s">
        <v>122</v>
      </c>
      <c r="C10" s="52">
        <f>Q3/100000</f>
        <v>0.12</v>
      </c>
      <c r="D10" s="52">
        <f t="shared" si="0"/>
        <v>0.126</v>
      </c>
      <c r="E10" s="52">
        <f t="shared" si="0"/>
        <v>0.1323</v>
      </c>
      <c r="F10" s="52">
        <f t="shared" si="0"/>
        <v>0.13891500000000001</v>
      </c>
      <c r="G10" s="52">
        <f t="shared" si="0"/>
        <v>0.14586075000000001</v>
      </c>
      <c r="H10" s="52">
        <f t="shared" si="0"/>
        <v>0.15315378750000003</v>
      </c>
      <c r="I10" s="52">
        <f t="shared" si="0"/>
        <v>0.16081147687500003</v>
      </c>
      <c r="J10" s="52">
        <f t="shared" si="1"/>
        <v>0.16885205071875004</v>
      </c>
      <c r="K10" s="52">
        <f t="shared" si="2"/>
        <v>0.17729465325468755</v>
      </c>
      <c r="L10" s="52">
        <f t="shared" si="3"/>
        <v>0.18615938591742193</v>
      </c>
      <c r="M10" s="63"/>
      <c r="N10" s="51">
        <v>0.8</v>
      </c>
      <c r="O10" s="51"/>
      <c r="P10" s="51"/>
      <c r="Q10" s="51"/>
    </row>
    <row r="11" spans="1:17" x14ac:dyDescent="0.2">
      <c r="A11" s="51" t="s">
        <v>123</v>
      </c>
      <c r="B11" s="51" t="s">
        <v>124</v>
      </c>
      <c r="C11" s="52">
        <f>3000*12/100000</f>
        <v>0.36</v>
      </c>
      <c r="D11" s="52">
        <f t="shared" ref="D11" si="4">C11*1.05</f>
        <v>0.378</v>
      </c>
      <c r="E11" s="52">
        <f t="shared" ref="E11" si="5">D11*1.05</f>
        <v>0.39690000000000003</v>
      </c>
      <c r="F11" s="52">
        <f t="shared" ref="F11" si="6">E11*1.05</f>
        <v>0.41674500000000003</v>
      </c>
      <c r="G11" s="52">
        <f t="shared" ref="G11" si="7">F11*1.05</f>
        <v>0.43758225000000006</v>
      </c>
      <c r="H11" s="52">
        <f t="shared" ref="H11" si="8">G11*1.05</f>
        <v>0.45946136250000008</v>
      </c>
      <c r="I11" s="52">
        <f t="shared" ref="I11" si="9">H11*1.05</f>
        <v>0.48243443062500013</v>
      </c>
      <c r="J11" s="52">
        <f t="shared" ref="J11" si="10">I11*1.05</f>
        <v>0.50655615215625016</v>
      </c>
      <c r="K11" s="52">
        <f t="shared" ref="K11" si="11">J11*1.05</f>
        <v>0.53188395976406266</v>
      </c>
      <c r="L11" s="52">
        <f t="shared" ref="L11" si="12">K11*1.05</f>
        <v>0.55847815775226584</v>
      </c>
      <c r="M11" s="63"/>
      <c r="N11" s="51">
        <v>10</v>
      </c>
      <c r="O11" s="51"/>
      <c r="P11" s="51"/>
      <c r="Q11" s="51"/>
    </row>
    <row r="12" spans="1:17" x14ac:dyDescent="0.2">
      <c r="A12" s="51" t="s">
        <v>125</v>
      </c>
      <c r="B12" s="51" t="s">
        <v>124</v>
      </c>
      <c r="C12" s="52">
        <f>3000*12/100000</f>
        <v>0.36</v>
      </c>
      <c r="D12" s="52">
        <f t="shared" si="0"/>
        <v>0.378</v>
      </c>
      <c r="E12" s="52">
        <f t="shared" si="0"/>
        <v>0.39690000000000003</v>
      </c>
      <c r="F12" s="52">
        <f t="shared" si="0"/>
        <v>0.41674500000000003</v>
      </c>
      <c r="G12" s="52">
        <f t="shared" si="0"/>
        <v>0.43758225000000006</v>
      </c>
      <c r="H12" s="52">
        <f t="shared" si="0"/>
        <v>0.45946136250000008</v>
      </c>
      <c r="I12" s="52">
        <f t="shared" si="0"/>
        <v>0.48243443062500013</v>
      </c>
      <c r="J12" s="52">
        <f t="shared" si="1"/>
        <v>0.50655615215625016</v>
      </c>
      <c r="K12" s="52">
        <f t="shared" si="2"/>
        <v>0.53188395976406266</v>
      </c>
      <c r="L12" s="52">
        <f t="shared" si="3"/>
        <v>0.55847815775226584</v>
      </c>
      <c r="M12" s="63"/>
      <c r="N12" s="51">
        <v>10</v>
      </c>
      <c r="O12" s="51"/>
      <c r="P12" s="51"/>
      <c r="Q12" s="51"/>
    </row>
    <row r="13" spans="1:17" ht="25.5" x14ac:dyDescent="0.2">
      <c r="A13" s="51" t="s">
        <v>126</v>
      </c>
      <c r="B13" s="51" t="s">
        <v>127</v>
      </c>
      <c r="C13" s="52">
        <f>SUM('Manpower Schedule'!G3:G9)</f>
        <v>6.48</v>
      </c>
      <c r="D13" s="52">
        <f t="shared" si="0"/>
        <v>6.8040000000000012</v>
      </c>
      <c r="E13" s="52">
        <f t="shared" si="0"/>
        <v>7.1442000000000014</v>
      </c>
      <c r="F13" s="52">
        <f t="shared" si="0"/>
        <v>7.5014100000000017</v>
      </c>
      <c r="G13" s="52">
        <f t="shared" si="0"/>
        <v>7.8764805000000022</v>
      </c>
      <c r="H13" s="52">
        <f t="shared" si="0"/>
        <v>8.270304525000002</v>
      </c>
      <c r="I13" s="52">
        <f t="shared" si="0"/>
        <v>8.6838197512500024</v>
      </c>
      <c r="J13" s="52">
        <f t="shared" si="1"/>
        <v>9.1180107388125027</v>
      </c>
      <c r="K13" s="52">
        <f t="shared" si="2"/>
        <v>9.5739112757531277</v>
      </c>
      <c r="L13" s="52">
        <f t="shared" si="3"/>
        <v>10.052606839540784</v>
      </c>
      <c r="M13" s="63"/>
      <c r="N13" s="62">
        <f>N7*N9*N10*N11*N12</f>
        <v>9600</v>
      </c>
      <c r="O13" s="51"/>
      <c r="P13" s="51"/>
      <c r="Q13" s="51"/>
    </row>
    <row r="14" spans="1:17" x14ac:dyDescent="0.2">
      <c r="A14" s="51" t="s">
        <v>128</v>
      </c>
      <c r="B14" s="51" t="s">
        <v>634</v>
      </c>
      <c r="C14" s="52">
        <f>5000*12/100000</f>
        <v>0.6</v>
      </c>
      <c r="D14" s="52">
        <f t="shared" si="0"/>
        <v>0.63</v>
      </c>
      <c r="E14" s="52">
        <f t="shared" si="0"/>
        <v>0.66150000000000009</v>
      </c>
      <c r="F14" s="52">
        <f t="shared" si="0"/>
        <v>0.69457500000000016</v>
      </c>
      <c r="G14" s="52">
        <f t="shared" si="0"/>
        <v>0.72930375000000025</v>
      </c>
      <c r="H14" s="52">
        <f t="shared" si="0"/>
        <v>0.7657689375000003</v>
      </c>
      <c r="I14" s="52">
        <f t="shared" si="0"/>
        <v>0.80405738437500041</v>
      </c>
      <c r="J14" s="52">
        <f t="shared" si="1"/>
        <v>0.84426025359375045</v>
      </c>
      <c r="K14" s="52">
        <f t="shared" si="2"/>
        <v>0.88647326627343803</v>
      </c>
      <c r="L14" s="52">
        <f t="shared" si="3"/>
        <v>0.93079692958711002</v>
      </c>
      <c r="M14" s="63"/>
    </row>
    <row r="15" spans="1:17" x14ac:dyDescent="0.2">
      <c r="A15" s="51" t="s">
        <v>129</v>
      </c>
      <c r="B15" s="51" t="s">
        <v>634</v>
      </c>
      <c r="C15" s="52">
        <f>5000*12/100000</f>
        <v>0.6</v>
      </c>
      <c r="D15" s="52">
        <f t="shared" si="0"/>
        <v>0.63</v>
      </c>
      <c r="E15" s="52">
        <f t="shared" si="0"/>
        <v>0.66150000000000009</v>
      </c>
      <c r="F15" s="52">
        <f t="shared" si="0"/>
        <v>0.69457500000000016</v>
      </c>
      <c r="G15" s="52">
        <f t="shared" si="0"/>
        <v>0.72930375000000025</v>
      </c>
      <c r="H15" s="52">
        <f t="shared" si="0"/>
        <v>0.7657689375000003</v>
      </c>
      <c r="I15" s="52">
        <f t="shared" si="0"/>
        <v>0.80405738437500041</v>
      </c>
      <c r="J15" s="52">
        <f t="shared" si="1"/>
        <v>0.84426025359375045</v>
      </c>
      <c r="K15" s="52">
        <f t="shared" si="2"/>
        <v>0.88647326627343803</v>
      </c>
      <c r="L15" s="52">
        <f t="shared" si="3"/>
        <v>0.93079692958711002</v>
      </c>
      <c r="M15" s="63"/>
    </row>
    <row r="16" spans="1:17" x14ac:dyDescent="0.2">
      <c r="A16" s="51" t="s">
        <v>130</v>
      </c>
      <c r="B16" s="51" t="s">
        <v>131</v>
      </c>
      <c r="C16" s="52">
        <v>0.12</v>
      </c>
      <c r="D16" s="52">
        <f t="shared" si="0"/>
        <v>0.126</v>
      </c>
      <c r="E16" s="52">
        <f t="shared" si="0"/>
        <v>0.1323</v>
      </c>
      <c r="F16" s="52">
        <f t="shared" si="0"/>
        <v>0.13891500000000001</v>
      </c>
      <c r="G16" s="52">
        <f t="shared" si="0"/>
        <v>0.14586075000000001</v>
      </c>
      <c r="H16" s="52">
        <f t="shared" si="0"/>
        <v>0.15315378750000003</v>
      </c>
      <c r="I16" s="52">
        <f t="shared" si="0"/>
        <v>0.16081147687500003</v>
      </c>
      <c r="J16" s="52">
        <f t="shared" si="1"/>
        <v>0.16885205071875004</v>
      </c>
      <c r="K16" s="52">
        <f t="shared" si="2"/>
        <v>0.17729465325468755</v>
      </c>
      <c r="L16" s="52">
        <f t="shared" si="3"/>
        <v>0.18615938591742193</v>
      </c>
      <c r="M16" s="63"/>
      <c r="O16" s="53">
        <f>N7*N9*N10</f>
        <v>96</v>
      </c>
      <c r="Q16" s="53">
        <f>N7*N9*N10</f>
        <v>96</v>
      </c>
    </row>
    <row r="17" spans="1:13" ht="25.5" x14ac:dyDescent="0.2">
      <c r="A17" s="51" t="s">
        <v>132</v>
      </c>
      <c r="B17" s="51" t="s">
        <v>133</v>
      </c>
      <c r="C17" s="52">
        <f t="shared" ref="C17:I17" si="13">C13*0.1</f>
        <v>0.64800000000000013</v>
      </c>
      <c r="D17" s="52">
        <f t="shared" si="13"/>
        <v>0.68040000000000012</v>
      </c>
      <c r="E17" s="52">
        <f t="shared" si="13"/>
        <v>0.71442000000000017</v>
      </c>
      <c r="F17" s="52">
        <f t="shared" si="13"/>
        <v>0.75014100000000017</v>
      </c>
      <c r="G17" s="52">
        <f t="shared" si="13"/>
        <v>0.78764805000000027</v>
      </c>
      <c r="H17" s="52">
        <f t="shared" si="13"/>
        <v>0.82703045250000029</v>
      </c>
      <c r="I17" s="52">
        <f t="shared" si="13"/>
        <v>0.86838197512500026</v>
      </c>
      <c r="J17" s="52">
        <f t="shared" ref="J17:L17" si="14">J13*0.1</f>
        <v>0.91180107388125031</v>
      </c>
      <c r="K17" s="52">
        <f t="shared" si="14"/>
        <v>0.95739112757531286</v>
      </c>
      <c r="L17" s="52">
        <f t="shared" si="14"/>
        <v>1.0052606839540785</v>
      </c>
      <c r="M17" s="63"/>
    </row>
    <row r="18" spans="1:13" ht="25.5" x14ac:dyDescent="0.2">
      <c r="A18" s="62" t="s">
        <v>134</v>
      </c>
      <c r="B18" s="62"/>
      <c r="C18" s="64">
        <f t="shared" ref="C18:I18" si="15">SUM(C6:C17)</f>
        <v>9.7979999999999983</v>
      </c>
      <c r="D18" s="64">
        <f t="shared" si="15"/>
        <v>10.287900000000002</v>
      </c>
      <c r="E18" s="64">
        <f t="shared" si="15"/>
        <v>10.802295000000003</v>
      </c>
      <c r="F18" s="64">
        <f t="shared" si="15"/>
        <v>11.342409750000002</v>
      </c>
      <c r="G18" s="64">
        <f t="shared" si="15"/>
        <v>11.909530237500002</v>
      </c>
      <c r="H18" s="64">
        <f t="shared" si="15"/>
        <v>12.505006749375005</v>
      </c>
      <c r="I18" s="64">
        <f t="shared" si="15"/>
        <v>13.130257086843754</v>
      </c>
      <c r="J18" s="64">
        <f t="shared" ref="J18:L18" si="16">SUM(J6:J17)</f>
        <v>13.786769941185941</v>
      </c>
      <c r="K18" s="64">
        <f t="shared" si="16"/>
        <v>14.476108438245239</v>
      </c>
      <c r="L18" s="64">
        <f t="shared" si="16"/>
        <v>15.199913860157503</v>
      </c>
    </row>
    <row r="19" spans="1:13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65"/>
    </row>
    <row r="20" spans="1:13" x14ac:dyDescent="0.2">
      <c r="A20" s="62"/>
      <c r="B20" s="62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5"/>
    </row>
    <row r="21" spans="1:13" x14ac:dyDescent="0.2">
      <c r="A21" s="62" t="s">
        <v>135</v>
      </c>
      <c r="B21" s="55"/>
      <c r="C21" s="51"/>
      <c r="D21" s="51"/>
      <c r="E21" s="51"/>
      <c r="F21" s="51"/>
      <c r="G21" s="51"/>
      <c r="H21" s="51"/>
      <c r="I21" s="51"/>
      <c r="J21" s="51"/>
      <c r="K21" s="51"/>
      <c r="L21" s="51"/>
    </row>
    <row r="22" spans="1:13" ht="25.5" x14ac:dyDescent="0.2">
      <c r="A22" s="51" t="s">
        <v>136</v>
      </c>
      <c r="B22" s="280" t="s">
        <v>635</v>
      </c>
      <c r="C22" s="52">
        <f>+Depn!C19*1%</f>
        <v>2.9752999999999998</v>
      </c>
      <c r="D22" s="52">
        <f t="shared" ref="D22:I25" si="17">C22*1.05</f>
        <v>3.1240649999999999</v>
      </c>
      <c r="E22" s="52">
        <f t="shared" si="17"/>
        <v>3.2802682500000002</v>
      </c>
      <c r="F22" s="52">
        <f t="shared" si="17"/>
        <v>3.4442816625000003</v>
      </c>
      <c r="G22" s="52">
        <f t="shared" si="17"/>
        <v>3.6164957456250004</v>
      </c>
      <c r="H22" s="52">
        <f t="shared" si="17"/>
        <v>3.7973205329062507</v>
      </c>
      <c r="I22" s="52">
        <f t="shared" si="17"/>
        <v>3.9871865595515632</v>
      </c>
      <c r="J22" s="52">
        <f t="shared" ref="J22:J25" si="18">I22*1.05</f>
        <v>4.1865458875291415</v>
      </c>
      <c r="K22" s="52">
        <f t="shared" ref="K22:K25" si="19">J22*1.05</f>
        <v>4.3958731819055989</v>
      </c>
      <c r="L22" s="52">
        <f t="shared" ref="L22:L25" si="20">K22*1.05</f>
        <v>4.6156668410008788</v>
      </c>
    </row>
    <row r="23" spans="1:13" ht="38.25" x14ac:dyDescent="0.2">
      <c r="A23" s="51" t="s">
        <v>137</v>
      </c>
      <c r="B23" s="51" t="s">
        <v>138</v>
      </c>
      <c r="C23" s="52">
        <f>('Project Glance'!B6+'Project Glance'!B8+'Project Glance'!B9+'Project Glance'!B11+'Project Glance'!B7)*0.5%</f>
        <v>1.4876499999999999</v>
      </c>
      <c r="D23" s="52">
        <f t="shared" si="17"/>
        <v>1.5620324999999999</v>
      </c>
      <c r="E23" s="52">
        <f t="shared" si="17"/>
        <v>1.6401341250000001</v>
      </c>
      <c r="F23" s="52">
        <f t="shared" si="17"/>
        <v>1.7221408312500002</v>
      </c>
      <c r="G23" s="52">
        <f t="shared" si="17"/>
        <v>1.8082478728125002</v>
      </c>
      <c r="H23" s="52">
        <f t="shared" si="17"/>
        <v>1.8986602664531254</v>
      </c>
      <c r="I23" s="52">
        <f t="shared" si="17"/>
        <v>1.9935932797757816</v>
      </c>
      <c r="J23" s="52">
        <f t="shared" si="18"/>
        <v>2.0932729437645707</v>
      </c>
      <c r="K23" s="52">
        <f t="shared" si="19"/>
        <v>2.1979365909527995</v>
      </c>
      <c r="L23" s="52">
        <f t="shared" si="20"/>
        <v>2.3078334205004394</v>
      </c>
    </row>
    <row r="24" spans="1:13" ht="25.5" x14ac:dyDescent="0.2">
      <c r="A24" s="51" t="s">
        <v>139</v>
      </c>
      <c r="B24" s="51" t="s">
        <v>140</v>
      </c>
      <c r="C24" s="52">
        <f>SUM('Manpower Schedule'!G11:G17)</f>
        <v>9.84</v>
      </c>
      <c r="D24" s="52">
        <f t="shared" si="17"/>
        <v>10.332000000000001</v>
      </c>
      <c r="E24" s="52">
        <f t="shared" si="17"/>
        <v>10.848600000000001</v>
      </c>
      <c r="F24" s="52">
        <f t="shared" si="17"/>
        <v>11.391030000000002</v>
      </c>
      <c r="G24" s="52">
        <f t="shared" si="17"/>
        <v>11.960581500000004</v>
      </c>
      <c r="H24" s="52">
        <f t="shared" si="17"/>
        <v>12.558610575000005</v>
      </c>
      <c r="I24" s="52">
        <f t="shared" si="17"/>
        <v>13.186541103750006</v>
      </c>
      <c r="J24" s="52">
        <f t="shared" si="18"/>
        <v>13.845868158937506</v>
      </c>
      <c r="K24" s="52">
        <f t="shared" si="19"/>
        <v>14.538161566884382</v>
      </c>
      <c r="L24" s="52">
        <f t="shared" si="20"/>
        <v>15.265069645228602</v>
      </c>
    </row>
    <row r="25" spans="1:13" ht="25.5" x14ac:dyDescent="0.2">
      <c r="A25" s="51" t="s">
        <v>141</v>
      </c>
      <c r="B25" s="51" t="s">
        <v>702</v>
      </c>
      <c r="C25" s="52">
        <f>Q5/100000</f>
        <v>3.48</v>
      </c>
      <c r="D25" s="52">
        <f t="shared" si="17"/>
        <v>3.6539999999999999</v>
      </c>
      <c r="E25" s="52">
        <f t="shared" si="17"/>
        <v>3.8367</v>
      </c>
      <c r="F25" s="52">
        <f t="shared" si="17"/>
        <v>4.0285349999999998</v>
      </c>
      <c r="G25" s="52">
        <f t="shared" si="17"/>
        <v>4.2299617500000002</v>
      </c>
      <c r="H25" s="52">
        <f t="shared" si="17"/>
        <v>4.4414598375000001</v>
      </c>
      <c r="I25" s="52">
        <f t="shared" si="17"/>
        <v>4.6635328293750007</v>
      </c>
      <c r="J25" s="52">
        <f t="shared" si="18"/>
        <v>4.8967094708437511</v>
      </c>
      <c r="K25" s="52">
        <f t="shared" si="19"/>
        <v>5.1415449443859389</v>
      </c>
      <c r="L25" s="52">
        <f t="shared" si="20"/>
        <v>5.3986221916052362</v>
      </c>
    </row>
    <row r="26" spans="1:13" ht="38.25" hidden="1" x14ac:dyDescent="0.2">
      <c r="A26" s="51" t="s">
        <v>454</v>
      </c>
      <c r="B26" s="51"/>
      <c r="C26" s="52">
        <f>'Production Level Support'!B3</f>
        <v>0</v>
      </c>
      <c r="D26" s="52">
        <f>'Production Level Support'!C3</f>
        <v>0</v>
      </c>
      <c r="E26" s="52">
        <f>'Production Level Support'!D3</f>
        <v>0</v>
      </c>
      <c r="F26" s="52">
        <f>'Production Level Support'!E3</f>
        <v>0</v>
      </c>
      <c r="G26" s="52">
        <f>'Production Level Support'!F3</f>
        <v>0</v>
      </c>
      <c r="H26" s="52">
        <f>'Production Level Support'!G3</f>
        <v>0</v>
      </c>
      <c r="I26" s="52">
        <f>'Production Level Support'!H3</f>
        <v>0</v>
      </c>
      <c r="J26" s="52"/>
      <c r="K26" s="52"/>
      <c r="L26" s="52"/>
    </row>
    <row r="27" spans="1:13" ht="25.5" x14ac:dyDescent="0.2">
      <c r="A27" s="62" t="s">
        <v>142</v>
      </c>
      <c r="B27" s="62"/>
      <c r="C27" s="66">
        <f>SUM(C22:C25)</f>
        <v>17.78295</v>
      </c>
      <c r="D27" s="66">
        <f t="shared" ref="D27:L27" si="21">SUM(D22:D25)</f>
        <v>18.6720975</v>
      </c>
      <c r="E27" s="66">
        <f t="shared" si="21"/>
        <v>19.605702375</v>
      </c>
      <c r="F27" s="66">
        <f t="shared" si="21"/>
        <v>20.585987493750004</v>
      </c>
      <c r="G27" s="66">
        <f t="shared" si="21"/>
        <v>21.615286868437504</v>
      </c>
      <c r="H27" s="66">
        <f t="shared" si="21"/>
        <v>22.696051211859377</v>
      </c>
      <c r="I27" s="66">
        <f t="shared" si="21"/>
        <v>23.83085377245235</v>
      </c>
      <c r="J27" s="66">
        <f t="shared" si="21"/>
        <v>25.022396461074969</v>
      </c>
      <c r="K27" s="66">
        <f t="shared" si="21"/>
        <v>26.273516284128718</v>
      </c>
      <c r="L27" s="66">
        <f t="shared" si="21"/>
        <v>27.587192098335159</v>
      </c>
    </row>
    <row r="28" spans="1:13" x14ac:dyDescent="0.2">
      <c r="A28" s="62"/>
      <c r="B28" s="62"/>
      <c r="C28" s="62"/>
      <c r="D28" s="62"/>
      <c r="E28" s="62"/>
      <c r="F28" s="62"/>
      <c r="G28" s="62"/>
      <c r="H28" s="62"/>
      <c r="I28" s="66"/>
      <c r="J28" s="66"/>
      <c r="K28" s="66"/>
      <c r="L28" s="66"/>
    </row>
    <row r="29" spans="1:13" x14ac:dyDescent="0.2">
      <c r="A29" s="62" t="s">
        <v>697</v>
      </c>
      <c r="B29" s="62"/>
      <c r="C29" s="62"/>
      <c r="D29" s="62"/>
      <c r="E29" s="62"/>
      <c r="F29" s="62"/>
      <c r="G29" s="62"/>
      <c r="H29" s="62"/>
      <c r="I29" s="66"/>
      <c r="J29" s="66"/>
      <c r="K29" s="66"/>
      <c r="L29" s="66"/>
    </row>
    <row r="30" spans="1:13" ht="15" x14ac:dyDescent="0.25">
      <c r="A30" s="310" t="s">
        <v>691</v>
      </c>
      <c r="B30" s="51"/>
      <c r="C30" s="311">
        <f>Warehouse!B3*Warehouse!B4*1.4/100000*12</f>
        <v>0.3024</v>
      </c>
      <c r="D30" s="311">
        <f t="shared" ref="D30:L30" si="22">+ROUND(C30*1.05,2)</f>
        <v>0.32</v>
      </c>
      <c r="E30" s="311">
        <f t="shared" si="22"/>
        <v>0.34</v>
      </c>
      <c r="F30" s="311">
        <f t="shared" si="22"/>
        <v>0.36</v>
      </c>
      <c r="G30" s="311">
        <f t="shared" si="22"/>
        <v>0.38</v>
      </c>
      <c r="H30" s="311">
        <f t="shared" si="22"/>
        <v>0.4</v>
      </c>
      <c r="I30" s="311">
        <f t="shared" si="22"/>
        <v>0.42</v>
      </c>
      <c r="J30" s="311">
        <f t="shared" si="22"/>
        <v>0.44</v>
      </c>
      <c r="K30" s="311">
        <f t="shared" si="22"/>
        <v>0.46</v>
      </c>
      <c r="L30" s="311">
        <f t="shared" si="22"/>
        <v>0.48</v>
      </c>
    </row>
    <row r="31" spans="1:13" ht="15" x14ac:dyDescent="0.25">
      <c r="A31" s="310" t="s">
        <v>692</v>
      </c>
      <c r="B31" s="51"/>
      <c r="C31" s="311">
        <f>5000/100000*2</f>
        <v>0.1</v>
      </c>
      <c r="D31" s="311">
        <f t="shared" ref="D31:L31" si="23">+ROUND(C31*1.05,2)</f>
        <v>0.11</v>
      </c>
      <c r="E31" s="311">
        <f t="shared" si="23"/>
        <v>0.12</v>
      </c>
      <c r="F31" s="311">
        <f t="shared" si="23"/>
        <v>0.13</v>
      </c>
      <c r="G31" s="311">
        <f t="shared" si="23"/>
        <v>0.14000000000000001</v>
      </c>
      <c r="H31" s="311">
        <f t="shared" si="23"/>
        <v>0.15</v>
      </c>
      <c r="I31" s="311">
        <f t="shared" si="23"/>
        <v>0.16</v>
      </c>
      <c r="J31" s="311">
        <f t="shared" si="23"/>
        <v>0.17</v>
      </c>
      <c r="K31" s="311">
        <f t="shared" si="23"/>
        <v>0.18</v>
      </c>
      <c r="L31" s="311">
        <f t="shared" si="23"/>
        <v>0.19</v>
      </c>
    </row>
    <row r="32" spans="1:13" ht="15" x14ac:dyDescent="0.25">
      <c r="A32" s="310" t="s">
        <v>693</v>
      </c>
      <c r="B32" s="51"/>
      <c r="C32" s="311">
        <f>5000/100000*2</f>
        <v>0.1</v>
      </c>
      <c r="D32" s="311">
        <f t="shared" ref="D32:L32" si="24">+ROUND(C32*1.05,2)</f>
        <v>0.11</v>
      </c>
      <c r="E32" s="311">
        <f t="shared" si="24"/>
        <v>0.12</v>
      </c>
      <c r="F32" s="311">
        <f t="shared" si="24"/>
        <v>0.13</v>
      </c>
      <c r="G32" s="311">
        <f t="shared" si="24"/>
        <v>0.14000000000000001</v>
      </c>
      <c r="H32" s="311">
        <f t="shared" si="24"/>
        <v>0.15</v>
      </c>
      <c r="I32" s="311">
        <f t="shared" si="24"/>
        <v>0.16</v>
      </c>
      <c r="J32" s="311">
        <f t="shared" si="24"/>
        <v>0.17</v>
      </c>
      <c r="K32" s="311">
        <f t="shared" si="24"/>
        <v>0.18</v>
      </c>
      <c r="L32" s="311">
        <f t="shared" si="24"/>
        <v>0.19</v>
      </c>
    </row>
    <row r="33" spans="1:17" ht="15" x14ac:dyDescent="0.25">
      <c r="A33" s="10" t="s">
        <v>694</v>
      </c>
      <c r="B33" s="51"/>
      <c r="C33" s="316">
        <v>0.12</v>
      </c>
      <c r="D33" s="311">
        <f t="shared" ref="D33:L33" si="25">+ROUND(C33*1.05,2)</f>
        <v>0.13</v>
      </c>
      <c r="E33" s="311">
        <f t="shared" si="25"/>
        <v>0.14000000000000001</v>
      </c>
      <c r="F33" s="311">
        <f t="shared" si="25"/>
        <v>0.15</v>
      </c>
      <c r="G33" s="311">
        <f t="shared" si="25"/>
        <v>0.16</v>
      </c>
      <c r="H33" s="311">
        <f t="shared" si="25"/>
        <v>0.17</v>
      </c>
      <c r="I33" s="311">
        <f t="shared" si="25"/>
        <v>0.18</v>
      </c>
      <c r="J33" s="311">
        <f t="shared" si="25"/>
        <v>0.19</v>
      </c>
      <c r="K33" s="311">
        <f t="shared" si="25"/>
        <v>0.2</v>
      </c>
      <c r="L33" s="311">
        <f t="shared" si="25"/>
        <v>0.21</v>
      </c>
    </row>
    <row r="34" spans="1:17" ht="15" x14ac:dyDescent="0.25">
      <c r="A34" s="10" t="s">
        <v>695</v>
      </c>
      <c r="B34" s="51"/>
      <c r="C34" s="311">
        <f>4.5*Warehouse!B3*Warehouse!B4/10*12/100000</f>
        <v>9.7199999999999995E-2</v>
      </c>
      <c r="D34" s="311">
        <f t="shared" ref="D34:L34" si="26">+ROUND(C34*1.05,2)</f>
        <v>0.1</v>
      </c>
      <c r="E34" s="311">
        <f t="shared" si="26"/>
        <v>0.11</v>
      </c>
      <c r="F34" s="311">
        <f t="shared" si="26"/>
        <v>0.12</v>
      </c>
      <c r="G34" s="311">
        <f t="shared" si="26"/>
        <v>0.13</v>
      </c>
      <c r="H34" s="311">
        <f t="shared" si="26"/>
        <v>0.14000000000000001</v>
      </c>
      <c r="I34" s="311">
        <f t="shared" si="26"/>
        <v>0.15</v>
      </c>
      <c r="J34" s="311">
        <f t="shared" si="26"/>
        <v>0.16</v>
      </c>
      <c r="K34" s="311">
        <f t="shared" si="26"/>
        <v>0.17</v>
      </c>
      <c r="L34" s="311">
        <f t="shared" si="26"/>
        <v>0.18</v>
      </c>
    </row>
    <row r="35" spans="1:17" ht="15" x14ac:dyDescent="0.25">
      <c r="A35" s="10" t="s">
        <v>137</v>
      </c>
      <c r="B35" s="51"/>
      <c r="C35" s="311">
        <f>2.5*Warehouse!B3*Warehouse!B4/10*12/100000</f>
        <v>5.3999999999999999E-2</v>
      </c>
      <c r="D35" s="311">
        <f t="shared" ref="D35:L35" si="27">+ROUND(C35*1.05,2)</f>
        <v>0.06</v>
      </c>
      <c r="E35" s="311">
        <f t="shared" si="27"/>
        <v>0.06</v>
      </c>
      <c r="F35" s="311">
        <f t="shared" si="27"/>
        <v>0.06</v>
      </c>
      <c r="G35" s="311">
        <f t="shared" si="27"/>
        <v>0.06</v>
      </c>
      <c r="H35" s="311">
        <f t="shared" si="27"/>
        <v>0.06</v>
      </c>
      <c r="I35" s="311">
        <f t="shared" si="27"/>
        <v>0.06</v>
      </c>
      <c r="J35" s="311">
        <f t="shared" si="27"/>
        <v>0.06</v>
      </c>
      <c r="K35" s="311">
        <f t="shared" si="27"/>
        <v>0.06</v>
      </c>
      <c r="L35" s="311">
        <f t="shared" si="27"/>
        <v>0.06</v>
      </c>
    </row>
    <row r="36" spans="1:17" ht="15" x14ac:dyDescent="0.25">
      <c r="A36" s="20" t="s">
        <v>696</v>
      </c>
      <c r="C36" s="317">
        <f t="shared" ref="C36:L36" si="28">SUM(C30:C35)</f>
        <v>0.77359999999999995</v>
      </c>
      <c r="D36" s="22">
        <f t="shared" si="28"/>
        <v>0.83000000000000007</v>
      </c>
      <c r="E36" s="22">
        <f t="shared" si="28"/>
        <v>0.89000000000000012</v>
      </c>
      <c r="F36" s="22">
        <f t="shared" si="28"/>
        <v>0.95</v>
      </c>
      <c r="G36" s="22">
        <f t="shared" si="28"/>
        <v>1.01</v>
      </c>
      <c r="H36" s="22">
        <f t="shared" si="28"/>
        <v>1.0700000000000003</v>
      </c>
      <c r="I36" s="22">
        <f t="shared" si="28"/>
        <v>1.1299999999999999</v>
      </c>
      <c r="J36" s="22">
        <f t="shared" si="28"/>
        <v>1.19</v>
      </c>
      <c r="K36" s="22">
        <f t="shared" si="28"/>
        <v>1.25</v>
      </c>
      <c r="L36" s="22">
        <f t="shared" si="28"/>
        <v>1.3099999999999998</v>
      </c>
    </row>
    <row r="37" spans="1:17" ht="15" x14ac:dyDescent="0.25">
      <c r="A37" s="312"/>
      <c r="B37" s="318"/>
      <c r="C37" s="313"/>
      <c r="D37" s="313"/>
      <c r="E37" s="313"/>
      <c r="F37" s="313"/>
      <c r="G37" s="313"/>
      <c r="H37" s="313"/>
      <c r="I37" s="314"/>
      <c r="J37" s="314"/>
      <c r="K37" s="314"/>
      <c r="L37" s="315"/>
    </row>
    <row r="38" spans="1:17" x14ac:dyDescent="0.2">
      <c r="A38" s="340" t="s">
        <v>143</v>
      </c>
      <c r="B38" s="341"/>
      <c r="C38" s="341"/>
      <c r="D38" s="341"/>
      <c r="E38" s="341"/>
      <c r="F38" s="341"/>
      <c r="G38" s="341"/>
      <c r="H38" s="341"/>
      <c r="I38" s="341"/>
      <c r="J38" s="341"/>
      <c r="K38" s="341"/>
      <c r="L38" s="342"/>
    </row>
    <row r="39" spans="1:17" ht="25.5" x14ac:dyDescent="0.2">
      <c r="A39" s="51" t="s">
        <v>144</v>
      </c>
      <c r="B39" s="51" t="s">
        <v>145</v>
      </c>
      <c r="C39" s="52">
        <f>'Manpower Schedule'!B23*300*'Output Schedule'!B37/100000</f>
        <v>3.024</v>
      </c>
      <c r="D39" s="52">
        <f>'Manpower Schedule'!C23*300*'Output Schedule'!C37/100000</f>
        <v>3.726</v>
      </c>
      <c r="E39" s="52">
        <f>'Manpower Schedule'!D23*300*'Output Schedule'!D37/100000</f>
        <v>4.5</v>
      </c>
      <c r="F39" s="52">
        <f>'Manpower Schedule'!E23*300*'Output Schedule'!E37/100000</f>
        <v>5.3460000000000001</v>
      </c>
      <c r="G39" s="52">
        <f>'Manpower Schedule'!F23*300*'Output Schedule'!F37/100000</f>
        <v>6.3360000000000003</v>
      </c>
      <c r="H39" s="52">
        <f>'Manpower Schedule'!G23*300*'Output Schedule'!G37/100000</f>
        <v>7.3319999999999999</v>
      </c>
      <c r="I39" s="52">
        <f>'Manpower Schedule'!H23*300*'Output Schedule'!H37/100000</f>
        <v>8.4</v>
      </c>
      <c r="J39" s="52">
        <f>'Manpower Schedule'!I23*300*'Output Schedule'!I37/100000</f>
        <v>8.9039999999999999</v>
      </c>
      <c r="K39" s="52">
        <f>'Manpower Schedule'!J23*300*'Output Schedule'!J37/100000</f>
        <v>9.4920000000000009</v>
      </c>
      <c r="L39" s="52">
        <f>'Manpower Schedule'!K23*300*'Output Schedule'!K37/100000</f>
        <v>9.9960000000000004</v>
      </c>
    </row>
    <row r="40" spans="1:17" ht="25.5" x14ac:dyDescent="0.2">
      <c r="A40" s="54" t="s">
        <v>141</v>
      </c>
      <c r="B40" s="51" t="s">
        <v>703</v>
      </c>
      <c r="C40" s="52">
        <f>$N$13*'Output Schedule'!B37/100000</f>
        <v>12.096</v>
      </c>
      <c r="D40" s="52">
        <f>$N$13*'Output Schedule'!C37/100000</f>
        <v>13.247999999999999</v>
      </c>
      <c r="E40" s="52">
        <f>$N$13*'Output Schedule'!D37/100000</f>
        <v>14.4</v>
      </c>
      <c r="F40" s="52">
        <f>$N$13*'Output Schedule'!E37/100000</f>
        <v>15.552</v>
      </c>
      <c r="G40" s="52">
        <f>$N$13*'Output Schedule'!F37/100000</f>
        <v>16.896000000000001</v>
      </c>
      <c r="H40" s="52">
        <f>$N$13*'Output Schedule'!G37/100000</f>
        <v>18.047999999999998</v>
      </c>
      <c r="I40" s="52">
        <f>$N$13*'Output Schedule'!H37/100000</f>
        <v>19.2</v>
      </c>
      <c r="J40" s="52">
        <f>$N$13*'Output Schedule'!I37/100000</f>
        <v>20.352</v>
      </c>
      <c r="K40" s="52">
        <f>$N$13*'Output Schedule'!J37/100000</f>
        <v>21.696000000000002</v>
      </c>
      <c r="L40" s="52">
        <f>$N$13*'Output Schedule'!K37/100000</f>
        <v>22.847999999999999</v>
      </c>
    </row>
    <row r="41" spans="1:17" x14ac:dyDescent="0.2">
      <c r="A41" s="54" t="s">
        <v>147</v>
      </c>
      <c r="B41" s="54" t="s">
        <v>148</v>
      </c>
      <c r="C41" s="52">
        <f>50*'Output Schedule'!B37/100000</f>
        <v>6.3E-2</v>
      </c>
      <c r="D41" s="52">
        <f>50*'Output Schedule'!C37/100000</f>
        <v>6.9000000000000006E-2</v>
      </c>
      <c r="E41" s="52">
        <f>50*'Output Schedule'!D37/100000</f>
        <v>7.4999999999999997E-2</v>
      </c>
      <c r="F41" s="52">
        <f>50*'Output Schedule'!E37/100000</f>
        <v>8.1000000000000003E-2</v>
      </c>
      <c r="G41" s="52">
        <f>50*'Output Schedule'!F37/100000</f>
        <v>8.7999999999999995E-2</v>
      </c>
      <c r="H41" s="52">
        <f>50*'Output Schedule'!G37/100000</f>
        <v>9.4E-2</v>
      </c>
      <c r="I41" s="52">
        <f>50*'Output Schedule'!H37/100000</f>
        <v>0.1</v>
      </c>
      <c r="J41" s="52">
        <f>50*'Output Schedule'!I37/100000</f>
        <v>0.106</v>
      </c>
      <c r="K41" s="52">
        <f>50*'Output Schedule'!J37/100000</f>
        <v>0.113</v>
      </c>
      <c r="L41" s="52">
        <f>50*'Output Schedule'!K37/100000</f>
        <v>0.11899999999999999</v>
      </c>
    </row>
    <row r="42" spans="1:17" ht="26.25" x14ac:dyDescent="0.25">
      <c r="A42" s="51" t="s">
        <v>698</v>
      </c>
      <c r="B42" s="67"/>
      <c r="C42" s="52">
        <f>5*Warehouse!B3*Warehouse!B14/100000</f>
        <v>6.3E-2</v>
      </c>
      <c r="D42" s="52">
        <f>+ROUND(C42/Warehouse!B14*Warehouse!C14*1.05,2)</f>
        <v>7.0000000000000007E-2</v>
      </c>
      <c r="E42" s="52">
        <f>+ROUND(D42/Warehouse!C14*Warehouse!D14*1.05,2)</f>
        <v>0.08</v>
      </c>
      <c r="F42" s="52">
        <f>+ROUND(E42/Warehouse!D14*Warehouse!E14*1.05,2)</f>
        <v>0.09</v>
      </c>
      <c r="G42" s="52">
        <f>+ROUND(F42/Warehouse!E14*Warehouse!F14*1.05,2)</f>
        <v>0.1</v>
      </c>
      <c r="H42" s="52">
        <f>+ROUND(G42/Warehouse!F14*Warehouse!G14*1.05,2)</f>
        <v>0.11</v>
      </c>
      <c r="I42" s="52">
        <f>+ROUND(H42/Warehouse!G14*Warehouse!H14*1.05,2)</f>
        <v>0.12</v>
      </c>
      <c r="J42" s="52">
        <f>+ROUND(I42/Warehouse!H14*Warehouse!I14*1.05,2)</f>
        <v>0.13</v>
      </c>
      <c r="K42" s="52">
        <f>+ROUND(J42/Warehouse!I14*Warehouse!J14*1.05,2)</f>
        <v>0.14000000000000001</v>
      </c>
      <c r="L42" s="52">
        <f>+ROUND(K42/Warehouse!J14*Warehouse!K14*1.05,2)</f>
        <v>0.15</v>
      </c>
      <c r="M42"/>
    </row>
    <row r="43" spans="1:17" ht="26.25" x14ac:dyDescent="0.25">
      <c r="A43" s="51" t="s">
        <v>699</v>
      </c>
      <c r="B43" s="67"/>
      <c r="C43" s="52">
        <v>1.2</v>
      </c>
      <c r="D43" s="52">
        <f>+ROUND(C43/Warehouse!B14*Warehouse!C14*1.05,2)</f>
        <v>1.26</v>
      </c>
      <c r="E43" s="52">
        <f>+ROUND(D43/Warehouse!C14*Warehouse!D14*1.05,2)</f>
        <v>1.42</v>
      </c>
      <c r="F43" s="52">
        <f>+ROUND(E43/Warehouse!D14*Warehouse!E14*1.05,2)</f>
        <v>1.59</v>
      </c>
      <c r="G43" s="52">
        <f>+ROUND(F43/Warehouse!E14*Warehouse!F14*1.05,2)</f>
        <v>1.77</v>
      </c>
      <c r="H43" s="52">
        <f>+ROUND(G43/Warehouse!F14*Warehouse!G14*1.05,2)</f>
        <v>1.97</v>
      </c>
      <c r="I43" s="52">
        <f>+ROUND(H43/Warehouse!G14*Warehouse!H14*1.05,2)</f>
        <v>2.0699999999999998</v>
      </c>
      <c r="J43" s="52">
        <f>+ROUND(I43/Warehouse!H14*Warehouse!I14*1.05,2)</f>
        <v>2.17</v>
      </c>
      <c r="K43" s="52">
        <f>+ROUND(J43/Warehouse!I14*Warehouse!J14*1.05,2)</f>
        <v>2.2799999999999998</v>
      </c>
      <c r="L43" s="52">
        <f>+ROUND(K43/Warehouse!J14*Warehouse!K14*1.05,2)</f>
        <v>2.39</v>
      </c>
      <c r="M43"/>
    </row>
    <row r="44" spans="1:17" ht="15" x14ac:dyDescent="0.25">
      <c r="A44" s="54" t="s">
        <v>149</v>
      </c>
      <c r="B44" s="67" t="s">
        <v>651</v>
      </c>
      <c r="C44" s="292">
        <f>480*'Output Schedule'!B17/100000</f>
        <v>2.4</v>
      </c>
      <c r="D44" s="292">
        <f>480*'Output Schedule'!C17/100000</f>
        <v>2.64</v>
      </c>
      <c r="E44" s="292">
        <f>480*'Output Schedule'!D17/100000</f>
        <v>2.8800000000000008</v>
      </c>
      <c r="F44" s="292">
        <f>480*'Output Schedule'!E17/100000</f>
        <v>3.1200000000000006</v>
      </c>
      <c r="G44" s="292">
        <f>480*'Output Schedule'!F17/100000</f>
        <v>3.3600000000000012</v>
      </c>
      <c r="H44" s="292">
        <f>480*'Output Schedule'!G17/100000</f>
        <v>3.600000000000001</v>
      </c>
      <c r="I44" s="292">
        <f>480*'Output Schedule'!H17/100000</f>
        <v>3.8400000000000012</v>
      </c>
      <c r="J44" s="292">
        <f>480*'Output Schedule'!I17/100000</f>
        <v>4.0800000000000018</v>
      </c>
      <c r="K44" s="292">
        <f>480*'Output Schedule'!J17/100000</f>
        <v>4.3200000000000021</v>
      </c>
      <c r="L44" s="292">
        <f>480*'Output Schedule'!K17/100000</f>
        <v>4.5600000000000023</v>
      </c>
      <c r="M44"/>
      <c r="O44" s="68"/>
      <c r="P44" s="68"/>
      <c r="Q44" s="68"/>
    </row>
    <row r="45" spans="1:17" ht="39" x14ac:dyDescent="0.25">
      <c r="A45" s="51" t="s">
        <v>150</v>
      </c>
      <c r="B45" s="69" t="s">
        <v>151</v>
      </c>
      <c r="C45" s="52">
        <f>800*'Manpower Schedule'!B23/100000</f>
        <v>6.4000000000000001E-2</v>
      </c>
      <c r="D45" s="52">
        <f>800*'Manpower Schedule'!C23/100000</f>
        <v>7.1999999999999995E-2</v>
      </c>
      <c r="E45" s="52">
        <f>800*'Manpower Schedule'!D23/100000</f>
        <v>0.08</v>
      </c>
      <c r="F45" s="52">
        <f>800*'Manpower Schedule'!E23/100000</f>
        <v>8.7999999999999995E-2</v>
      </c>
      <c r="G45" s="52">
        <f>800*'Manpower Schedule'!F23/100000</f>
        <v>9.6000000000000002E-2</v>
      </c>
      <c r="H45" s="52">
        <f>800*'Manpower Schedule'!G23/100000</f>
        <v>0.104</v>
      </c>
      <c r="I45" s="52">
        <f>800*'Manpower Schedule'!H23/100000</f>
        <v>0.112</v>
      </c>
      <c r="J45" s="52">
        <f>800*'Manpower Schedule'!I23/100000</f>
        <v>0.112</v>
      </c>
      <c r="K45" s="52">
        <f>800*'Manpower Schedule'!J23/100000</f>
        <v>0.112</v>
      </c>
      <c r="L45" s="52">
        <f>800*'Manpower Schedule'!K23/100000</f>
        <v>0.112</v>
      </c>
      <c r="M45"/>
      <c r="O45" s="289"/>
      <c r="P45" s="68"/>
      <c r="Q45" s="68"/>
    </row>
    <row r="46" spans="1:17" ht="26.25" x14ac:dyDescent="0.25">
      <c r="A46" s="51" t="s">
        <v>166</v>
      </c>
      <c r="B46" s="67" t="s">
        <v>596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/>
      <c r="O46" s="289">
        <f>500000/25</f>
        <v>20000</v>
      </c>
      <c r="P46" s="68"/>
      <c r="Q46" s="68">
        <f>C44*100000/O46</f>
        <v>12</v>
      </c>
    </row>
    <row r="47" spans="1:17" ht="27.75" customHeight="1" x14ac:dyDescent="0.25">
      <c r="A47" s="54" t="s">
        <v>167</v>
      </c>
      <c r="B47" s="67" t="s">
        <v>152</v>
      </c>
      <c r="C47" s="52">
        <f>500*'Output Schedule'!B17/100000</f>
        <v>2.5</v>
      </c>
      <c r="D47" s="52">
        <f>500*'Output Schedule'!C17/100000</f>
        <v>2.75</v>
      </c>
      <c r="E47" s="52">
        <f>500*'Output Schedule'!D17/100000</f>
        <v>3.0000000000000004</v>
      </c>
      <c r="F47" s="52">
        <f>500*'Output Schedule'!E17/100000</f>
        <v>3.2500000000000004</v>
      </c>
      <c r="G47" s="52">
        <f>500*'Output Schedule'!F17/100000</f>
        <v>3.5000000000000013</v>
      </c>
      <c r="H47" s="52">
        <f>500*'Output Schedule'!G17/100000</f>
        <v>3.7500000000000013</v>
      </c>
      <c r="I47" s="52">
        <f>500*'Output Schedule'!H17/100000</f>
        <v>4.0000000000000009</v>
      </c>
      <c r="J47" s="52">
        <f>500*'Output Schedule'!I17/100000</f>
        <v>4.2500000000000018</v>
      </c>
      <c r="K47" s="52">
        <f>500*'Output Schedule'!J17/100000</f>
        <v>4.5000000000000018</v>
      </c>
      <c r="L47" s="52">
        <f>500*'Output Schedule'!K17/100000</f>
        <v>4.7500000000000027</v>
      </c>
      <c r="M47"/>
      <c r="N47" s="53">
        <f>180000/15000</f>
        <v>12</v>
      </c>
      <c r="O47" s="289"/>
      <c r="P47" s="68"/>
      <c r="Q47" s="68"/>
    </row>
    <row r="48" spans="1:17" ht="15" x14ac:dyDescent="0.25">
      <c r="A48" s="51" t="s">
        <v>153</v>
      </c>
      <c r="B48" s="69" t="s">
        <v>110</v>
      </c>
      <c r="C48" s="52">
        <f>300*'Output Schedule'!B37/100000</f>
        <v>0.378</v>
      </c>
      <c r="D48" s="52">
        <f>300*'Output Schedule'!C37/100000</f>
        <v>0.41399999999999998</v>
      </c>
      <c r="E48" s="52">
        <f>300*'Output Schedule'!D37/100000</f>
        <v>0.45</v>
      </c>
      <c r="F48" s="52">
        <f>300*'Output Schedule'!E37/100000</f>
        <v>0.48599999999999999</v>
      </c>
      <c r="G48" s="52">
        <f>300*'Output Schedule'!F37/100000</f>
        <v>0.52800000000000002</v>
      </c>
      <c r="H48" s="52">
        <f>300*'Output Schedule'!G37/100000</f>
        <v>0.56399999999999995</v>
      </c>
      <c r="I48" s="52">
        <f>300*'Output Schedule'!H37/100000</f>
        <v>0.6</v>
      </c>
      <c r="J48" s="52">
        <f>300*'Output Schedule'!I37/100000</f>
        <v>0.63600000000000001</v>
      </c>
      <c r="K48" s="52">
        <f>300*'Output Schedule'!J37/100000</f>
        <v>0.67800000000000005</v>
      </c>
      <c r="L48" s="52">
        <f>300*'Output Schedule'!K37/100000</f>
        <v>0.71399999999999997</v>
      </c>
      <c r="M48"/>
      <c r="O48" s="289"/>
      <c r="P48" s="68"/>
      <c r="Q48" s="68"/>
    </row>
    <row r="49" spans="1:17" ht="15" x14ac:dyDescent="0.25">
      <c r="A49" s="51" t="s">
        <v>154</v>
      </c>
      <c r="B49" s="69" t="s">
        <v>152</v>
      </c>
      <c r="C49" s="52">
        <f>500*('Sales Schedule'!C2+'Sales Schedule'!C6+'Sales Schedule'!C10)/100000</f>
        <v>2.16</v>
      </c>
      <c r="D49" s="52">
        <f>500*('Sales Schedule'!D2+'Sales Schedule'!D6+'Sales Schedule'!D10)/100000</f>
        <v>2.4550000000000001</v>
      </c>
      <c r="E49" s="52">
        <f>500*('Sales Schedule'!E2+'Sales Schedule'!E6+'Sales Schedule'!E10)/100000</f>
        <v>2.6949999999999998</v>
      </c>
      <c r="F49" s="52">
        <f>500*('Sales Schedule'!F2+'Sales Schedule'!F6+'Sales Schedule'!F10)/100000</f>
        <v>2.91</v>
      </c>
      <c r="G49" s="52">
        <f>500*('Sales Schedule'!G2+'Sales Schedule'!G6+'Sales Schedule'!G10)/100000</f>
        <v>3.145</v>
      </c>
      <c r="H49" s="52">
        <f>500*('Sales Schedule'!H2+'Sales Schedule'!H6+'Sales Schedule'!H10)/100000</f>
        <v>3.36</v>
      </c>
      <c r="I49" s="52">
        <f>500*('Sales Schedule'!I2+'Sales Schedule'!I6+'Sales Schedule'!I10)/100000</f>
        <v>3.5950000000000002</v>
      </c>
      <c r="J49" s="52">
        <f>500*('Sales Schedule'!J2+'Sales Schedule'!J6+'Sales Schedule'!J10)/100000</f>
        <v>3.82</v>
      </c>
      <c r="K49" s="52">
        <f>500*('Sales Schedule'!K2+'Sales Schedule'!K6+'Sales Schedule'!K10)/100000</f>
        <v>4.03</v>
      </c>
      <c r="L49" s="52">
        <f>500*('Sales Schedule'!L2+'Sales Schedule'!L6+'Sales Schedule'!L10)/100000</f>
        <v>4.2699999999999996</v>
      </c>
      <c r="M49"/>
      <c r="O49" s="68"/>
      <c r="P49" s="68"/>
      <c r="Q49" s="68"/>
    </row>
    <row r="50" spans="1:17" ht="15" x14ac:dyDescent="0.25">
      <c r="A50" s="51" t="s">
        <v>155</v>
      </c>
      <c r="B50" s="69" t="s">
        <v>631</v>
      </c>
      <c r="C50" s="52">
        <f>500*'Output Schedule'!B37/100000</f>
        <v>0.63</v>
      </c>
      <c r="D50" s="52">
        <f>500*'Output Schedule'!C37/100000</f>
        <v>0.69</v>
      </c>
      <c r="E50" s="52">
        <f>500*'Output Schedule'!D37/100000</f>
        <v>0.75</v>
      </c>
      <c r="F50" s="52">
        <f>500*'Output Schedule'!E37/100000</f>
        <v>0.81</v>
      </c>
      <c r="G50" s="52">
        <f>500*'Output Schedule'!F37/100000</f>
        <v>0.88</v>
      </c>
      <c r="H50" s="52">
        <f>500*'Output Schedule'!G37/100000</f>
        <v>0.94</v>
      </c>
      <c r="I50" s="52">
        <f>500*'Output Schedule'!H37/100000</f>
        <v>1</v>
      </c>
      <c r="J50" s="52">
        <f>500*'Output Schedule'!I37/100000</f>
        <v>1.06</v>
      </c>
      <c r="K50" s="52">
        <f>500*'Output Schedule'!J37/100000</f>
        <v>1.1299999999999999</v>
      </c>
      <c r="L50" s="52">
        <f>500*'Output Schedule'!K37/100000</f>
        <v>1.19</v>
      </c>
      <c r="M50"/>
      <c r="O50" s="68"/>
      <c r="P50" s="68"/>
      <c r="Q50" s="68"/>
    </row>
    <row r="51" spans="1:17" ht="15" x14ac:dyDescent="0.25">
      <c r="A51" s="51"/>
      <c r="B51" s="51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/>
      <c r="O51" s="68"/>
      <c r="P51" s="68"/>
      <c r="Q51" s="68"/>
    </row>
    <row r="52" spans="1:17" x14ac:dyDescent="0.2">
      <c r="A52" s="62" t="s">
        <v>156</v>
      </c>
      <c r="B52" s="62"/>
      <c r="C52" s="66">
        <f>SUM(C39:C51)</f>
        <v>24.577999999999999</v>
      </c>
      <c r="D52" s="66">
        <f t="shared" ref="D52:L52" si="29">SUM(D39:D51)</f>
        <v>27.394000000000002</v>
      </c>
      <c r="E52" s="66">
        <f t="shared" si="29"/>
        <v>30.329999999999995</v>
      </c>
      <c r="F52" s="66">
        <f t="shared" si="29"/>
        <v>33.323000000000008</v>
      </c>
      <c r="G52" s="66">
        <f t="shared" si="29"/>
        <v>36.699000000000012</v>
      </c>
      <c r="H52" s="66">
        <f t="shared" si="29"/>
        <v>39.872</v>
      </c>
      <c r="I52" s="66">
        <f t="shared" si="29"/>
        <v>43.037000000000006</v>
      </c>
      <c r="J52" s="66">
        <f t="shared" si="29"/>
        <v>45.620000000000012</v>
      </c>
      <c r="K52" s="66">
        <f t="shared" si="29"/>
        <v>48.491000000000007</v>
      </c>
      <c r="L52" s="66">
        <f t="shared" si="29"/>
        <v>51.099000000000004</v>
      </c>
      <c r="O52" s="68"/>
      <c r="P52" s="68"/>
      <c r="Q52" s="68"/>
    </row>
    <row r="53" spans="1:17" x14ac:dyDescent="0.2">
      <c r="O53" s="68"/>
      <c r="P53" s="68"/>
      <c r="Q53" s="68"/>
    </row>
    <row r="54" spans="1:17" x14ac:dyDescent="0.2">
      <c r="O54" s="68"/>
      <c r="P54" s="68"/>
      <c r="Q54" s="68"/>
    </row>
    <row r="55" spans="1:17" x14ac:dyDescent="0.2">
      <c r="O55" s="68"/>
      <c r="P55" s="68"/>
      <c r="Q55" s="68"/>
    </row>
    <row r="56" spans="1:17" x14ac:dyDescent="0.2">
      <c r="M56" s="70"/>
      <c r="O56" s="68"/>
      <c r="P56" s="68"/>
      <c r="Q56" s="68"/>
    </row>
    <row r="57" spans="1:17" x14ac:dyDescent="0.2">
      <c r="O57" s="68"/>
      <c r="P57" s="68"/>
      <c r="Q57" s="68"/>
    </row>
    <row r="58" spans="1:17" x14ac:dyDescent="0.2">
      <c r="O58" s="68"/>
      <c r="P58" s="68"/>
      <c r="Q58" s="68"/>
    </row>
    <row r="59" spans="1:17" x14ac:dyDescent="0.2">
      <c r="O59" s="68"/>
      <c r="P59" s="68"/>
      <c r="Q59" s="68"/>
    </row>
    <row r="60" spans="1:17" x14ac:dyDescent="0.2">
      <c r="O60" s="68"/>
      <c r="P60" s="68"/>
      <c r="Q60" s="68"/>
    </row>
    <row r="61" spans="1:17" x14ac:dyDescent="0.2">
      <c r="O61" s="68"/>
      <c r="P61" s="68"/>
      <c r="Q61" s="68"/>
    </row>
    <row r="62" spans="1:17" x14ac:dyDescent="0.2">
      <c r="O62" s="68"/>
      <c r="P62" s="68"/>
      <c r="Q62" s="68"/>
    </row>
    <row r="63" spans="1:17" x14ac:dyDescent="0.2">
      <c r="O63" s="68"/>
      <c r="P63" s="68"/>
      <c r="Q63" s="68"/>
    </row>
    <row r="64" spans="1:17" x14ac:dyDescent="0.2">
      <c r="O64" s="68"/>
      <c r="P64" s="68"/>
      <c r="Q64" s="68"/>
    </row>
    <row r="65" spans="15:17" x14ac:dyDescent="0.2">
      <c r="O65" s="68"/>
      <c r="P65" s="68"/>
      <c r="Q65" s="68"/>
    </row>
    <row r="66" spans="15:17" x14ac:dyDescent="0.2">
      <c r="O66" s="68"/>
      <c r="P66" s="68"/>
      <c r="Q66" s="68"/>
    </row>
    <row r="67" spans="15:17" x14ac:dyDescent="0.2">
      <c r="O67" s="68"/>
      <c r="P67" s="68"/>
      <c r="Q67" s="68"/>
    </row>
    <row r="68" spans="15:17" x14ac:dyDescent="0.2">
      <c r="O68" s="68"/>
      <c r="P68" s="68"/>
      <c r="Q68" s="68"/>
    </row>
    <row r="69" spans="15:17" s="70" customFormat="1" x14ac:dyDescent="0.2">
      <c r="O69" s="68"/>
      <c r="P69" s="68"/>
      <c r="Q69" s="68"/>
    </row>
    <row r="70" spans="15:17" x14ac:dyDescent="0.2">
      <c r="O70" s="68"/>
      <c r="P70" s="68"/>
      <c r="Q70" s="68"/>
    </row>
  </sheetData>
  <mergeCells count="4">
    <mergeCell ref="N2:Q2"/>
    <mergeCell ref="N6:Q6"/>
    <mergeCell ref="A4:L4"/>
    <mergeCell ref="A38:L38"/>
  </mergeCells>
  <pageMargins left="0.7" right="0.7" top="0.75" bottom="0.75" header="0.3" footer="0.3"/>
  <pageSetup scale="67" orientation="portrait" r:id="rId1"/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2" sqref="B12:H12"/>
    </sheetView>
  </sheetViews>
  <sheetFormatPr defaultRowHeight="15" x14ac:dyDescent="0.25"/>
  <cols>
    <col min="1" max="1" width="27.140625" bestFit="1" customWidth="1"/>
    <col min="2" max="8" width="11.5703125" customWidth="1"/>
  </cols>
  <sheetData>
    <row r="1" spans="1:8" x14ac:dyDescent="0.25">
      <c r="A1" s="343" t="s">
        <v>426</v>
      </c>
      <c r="B1" s="343"/>
      <c r="C1" s="343"/>
      <c r="D1" s="343"/>
      <c r="E1" s="343"/>
      <c r="F1" s="343"/>
      <c r="G1" s="343"/>
      <c r="H1" s="343"/>
    </row>
    <row r="2" spans="1:8" x14ac:dyDescent="0.25">
      <c r="A2" s="15" t="s">
        <v>1</v>
      </c>
      <c r="B2" s="15" t="s">
        <v>36</v>
      </c>
      <c r="C2" s="15" t="s">
        <v>37</v>
      </c>
      <c r="D2" s="15" t="s">
        <v>38</v>
      </c>
      <c r="E2" s="15" t="s">
        <v>39</v>
      </c>
      <c r="F2" s="15" t="s">
        <v>40</v>
      </c>
      <c r="G2" s="15" t="s">
        <v>41</v>
      </c>
      <c r="H2" s="15" t="s">
        <v>42</v>
      </c>
    </row>
    <row r="3" spans="1:8" x14ac:dyDescent="0.25">
      <c r="A3" s="36"/>
      <c r="B3" s="36"/>
      <c r="C3" s="36"/>
      <c r="D3" s="36"/>
      <c r="E3" s="36"/>
      <c r="F3" s="36"/>
      <c r="G3" s="18"/>
      <c r="H3" s="18"/>
    </row>
    <row r="4" spans="1:8" x14ac:dyDescent="0.25">
      <c r="A4" s="36" t="s">
        <v>143</v>
      </c>
      <c r="B4" s="72">
        <f>'P&amp;L'!B25</f>
        <v>24.577999999999999</v>
      </c>
      <c r="C4" s="72">
        <f>'P&amp;L'!C25</f>
        <v>27.394000000000002</v>
      </c>
      <c r="D4" s="72">
        <f>'P&amp;L'!D25</f>
        <v>30.329999999999995</v>
      </c>
      <c r="E4" s="72">
        <f>'P&amp;L'!E25</f>
        <v>33.323000000000008</v>
      </c>
      <c r="F4" s="72">
        <f>'P&amp;L'!F25</f>
        <v>36.699000000000012</v>
      </c>
      <c r="G4" s="72">
        <f>'P&amp;L'!G25</f>
        <v>39.872</v>
      </c>
      <c r="H4" s="72">
        <f>'P&amp;L'!H25</f>
        <v>43.037000000000006</v>
      </c>
    </row>
    <row r="5" spans="1:8" x14ac:dyDescent="0.25">
      <c r="A5" s="36" t="s">
        <v>113</v>
      </c>
      <c r="B5" s="73">
        <f>'P&amp;L'!B23</f>
        <v>28.354549999999996</v>
      </c>
      <c r="C5" s="73">
        <f>'P&amp;L'!C23</f>
        <v>29.789997499999998</v>
      </c>
      <c r="D5" s="73">
        <f>'P&amp;L'!D23</f>
        <v>31.297997375000001</v>
      </c>
      <c r="E5" s="73">
        <f>'P&amp;L'!E23</f>
        <v>32.878397243750008</v>
      </c>
      <c r="F5" s="73">
        <f>'P&amp;L'!F23</f>
        <v>34.534817105937506</v>
      </c>
      <c r="G5" s="73">
        <f>'P&amp;L'!G23</f>
        <v>36.271057961234384</v>
      </c>
      <c r="H5" s="73">
        <f>'P&amp;L'!H23</f>
        <v>38.091110859296109</v>
      </c>
    </row>
    <row r="6" spans="1:8" hidden="1" x14ac:dyDescent="0.25">
      <c r="A6" s="36" t="s">
        <v>428</v>
      </c>
      <c r="B6" s="73">
        <f>'Purchase Schedule'!B6</f>
        <v>120.872</v>
      </c>
      <c r="C6" s="73">
        <f>'Purchase Schedule'!C6</f>
        <v>134.46719999999999</v>
      </c>
      <c r="D6" s="73">
        <f>'Purchase Schedule'!D6</f>
        <v>153.99160000000001</v>
      </c>
      <c r="E6" s="73">
        <f>'Purchase Schedule'!E6</f>
        <v>175.12719999999999</v>
      </c>
      <c r="F6" s="73">
        <f>'Purchase Schedule'!F6</f>
        <v>197.964</v>
      </c>
      <c r="G6" s="73">
        <f>'Purchase Schedule'!G6</f>
        <v>222.66720000000001</v>
      </c>
      <c r="H6" s="73">
        <f>'Purchase Schedule'!H6</f>
        <v>249.34180000000001</v>
      </c>
    </row>
    <row r="7" spans="1:8" x14ac:dyDescent="0.25">
      <c r="A7" s="18"/>
      <c r="B7" s="18"/>
      <c r="C7" s="18"/>
      <c r="D7" s="18"/>
      <c r="E7" s="18"/>
      <c r="F7" s="18"/>
      <c r="G7" s="18"/>
      <c r="H7" s="18"/>
    </row>
    <row r="8" spans="1:8" x14ac:dyDescent="0.25">
      <c r="A8" s="36" t="s">
        <v>427</v>
      </c>
      <c r="B8" s="44">
        <f>(B4+B5)/12</f>
        <v>4.4110458333333327</v>
      </c>
      <c r="C8" s="44">
        <f t="shared" ref="C8:H8" si="0">(C4+C5)/12</f>
        <v>4.7653331250000006</v>
      </c>
      <c r="D8" s="44">
        <f t="shared" si="0"/>
        <v>5.135666447916666</v>
      </c>
      <c r="E8" s="44">
        <f t="shared" si="0"/>
        <v>5.5167831036458352</v>
      </c>
      <c r="F8" s="44">
        <f t="shared" si="0"/>
        <v>5.9361514254947929</v>
      </c>
      <c r="G8" s="44">
        <f t="shared" si="0"/>
        <v>6.3452548301028644</v>
      </c>
      <c r="H8" s="44">
        <f t="shared" si="0"/>
        <v>6.7606759049413432</v>
      </c>
    </row>
    <row r="9" spans="1:8" x14ac:dyDescent="0.25">
      <c r="A9" s="36" t="s">
        <v>457</v>
      </c>
      <c r="B9" s="44">
        <f>'CS-RM'!B16+'CS-FG'!C52</f>
        <v>10.372</v>
      </c>
      <c r="C9" s="44">
        <f>'CS-RM'!C16+'CS-FG'!D52</f>
        <v>12.532800000000002</v>
      </c>
      <c r="D9" s="44">
        <f>'CS-RM'!D16+'CS-FG'!E52</f>
        <v>14.167899999999999</v>
      </c>
      <c r="E9" s="44">
        <f>'CS-RM'!E16+'CS-FG'!F52</f>
        <v>16.166</v>
      </c>
      <c r="F9" s="44">
        <f>'CS-RM'!F16+'CS-FG'!G52</f>
        <v>18.0839</v>
      </c>
      <c r="G9" s="44">
        <f>'CS-RM'!G16+'CS-FG'!H52</f>
        <v>20.536500000000004</v>
      </c>
      <c r="H9" s="44">
        <f>'CS-RM'!H16+'CS-FG'!I52</f>
        <v>22.788</v>
      </c>
    </row>
    <row r="10" spans="1:8" x14ac:dyDescent="0.25">
      <c r="A10" s="36" t="s">
        <v>429</v>
      </c>
      <c r="B10" s="73">
        <f>'Production Level Support'!B3</f>
        <v>0</v>
      </c>
      <c r="C10" s="73">
        <f>'Production Level Support'!C3</f>
        <v>0</v>
      </c>
      <c r="D10" s="73">
        <f>'Production Level Support'!D3</f>
        <v>0</v>
      </c>
      <c r="E10" s="73">
        <f>'Production Level Support'!E3</f>
        <v>0</v>
      </c>
      <c r="F10" s="73">
        <f>'Production Level Support'!F3</f>
        <v>0</v>
      </c>
      <c r="G10" s="73">
        <f>'Production Level Support'!G3</f>
        <v>0</v>
      </c>
      <c r="H10" s="73">
        <f>'Production Level Support'!H3</f>
        <v>0</v>
      </c>
    </row>
    <row r="11" spans="1:8" x14ac:dyDescent="0.25">
      <c r="A11" s="36" t="s">
        <v>455</v>
      </c>
      <c r="B11" s="73">
        <f>BS!C45</f>
        <v>0</v>
      </c>
      <c r="C11" s="73">
        <f>BS!D45</f>
        <v>0</v>
      </c>
      <c r="D11" s="73">
        <f>BS!E45</f>
        <v>0</v>
      </c>
      <c r="E11" s="73">
        <f>BS!F45</f>
        <v>0</v>
      </c>
      <c r="F11" s="73">
        <f>BS!G45</f>
        <v>0</v>
      </c>
      <c r="G11" s="73">
        <f>BS!H45</f>
        <v>0</v>
      </c>
      <c r="H11" s="73">
        <f>BS!I45</f>
        <v>0</v>
      </c>
    </row>
    <row r="12" spans="1:8" x14ac:dyDescent="0.25">
      <c r="A12" s="36" t="s">
        <v>29</v>
      </c>
      <c r="B12" s="173">
        <f>SUM(B8:B11)</f>
        <v>14.783045833333333</v>
      </c>
      <c r="C12" s="173">
        <f t="shared" ref="C12:H12" si="1">SUM(C8:C11)</f>
        <v>17.298133125000003</v>
      </c>
      <c r="D12" s="173">
        <f t="shared" si="1"/>
        <v>19.303566447916666</v>
      </c>
      <c r="E12" s="173">
        <f t="shared" si="1"/>
        <v>21.682783103645836</v>
      </c>
      <c r="F12" s="173">
        <f t="shared" si="1"/>
        <v>24.020051425494792</v>
      </c>
      <c r="G12" s="173">
        <f t="shared" si="1"/>
        <v>26.881754830102867</v>
      </c>
      <c r="H12" s="173">
        <f t="shared" si="1"/>
        <v>29.548675904941344</v>
      </c>
    </row>
    <row r="13" spans="1:8" x14ac:dyDescent="0.25">
      <c r="A13" s="36"/>
      <c r="B13" s="73"/>
      <c r="C13" s="73"/>
      <c r="D13" s="73"/>
      <c r="E13" s="73"/>
      <c r="F13" s="73"/>
      <c r="G13" s="73"/>
      <c r="H13" s="73"/>
    </row>
    <row r="14" spans="1:8" x14ac:dyDescent="0.25">
      <c r="A14" s="36" t="s">
        <v>168</v>
      </c>
      <c r="B14" s="42">
        <f>B12*0.25</f>
        <v>3.6957614583333331</v>
      </c>
      <c r="C14" s="42">
        <f t="shared" ref="C14:H14" si="2">C12*0.25</f>
        <v>4.3245332812500008</v>
      </c>
      <c r="D14" s="42">
        <f t="shared" si="2"/>
        <v>4.8258916119791664</v>
      </c>
      <c r="E14" s="42">
        <f t="shared" si="2"/>
        <v>5.4206957759114589</v>
      </c>
      <c r="F14" s="42">
        <f t="shared" si="2"/>
        <v>6.005012856373698</v>
      </c>
      <c r="G14" s="42">
        <f t="shared" si="2"/>
        <v>6.7204387075257168</v>
      </c>
      <c r="H14" s="42">
        <f t="shared" si="2"/>
        <v>7.3871689762353361</v>
      </c>
    </row>
    <row r="15" spans="1:8" x14ac:dyDescent="0.25">
      <c r="A15" s="36"/>
      <c r="B15" s="36"/>
      <c r="C15" s="36"/>
      <c r="D15" s="36"/>
      <c r="E15" s="36"/>
      <c r="F15" s="36"/>
      <c r="G15" s="18"/>
      <c r="H15" s="18"/>
    </row>
    <row r="16" spans="1:8" x14ac:dyDescent="0.25">
      <c r="A16" s="36" t="s">
        <v>169</v>
      </c>
      <c r="B16" s="44">
        <f>B12-B14</f>
        <v>11.087284374999999</v>
      </c>
      <c r="C16" s="44">
        <f t="shared" ref="C16:H16" si="3">C12-C14</f>
        <v>12.973599843750002</v>
      </c>
      <c r="D16" s="44">
        <f t="shared" si="3"/>
        <v>14.477674835937499</v>
      </c>
      <c r="E16" s="44">
        <f t="shared" si="3"/>
        <v>16.262087327734378</v>
      </c>
      <c r="F16" s="44">
        <f t="shared" si="3"/>
        <v>18.015038569121096</v>
      </c>
      <c r="G16" s="44">
        <f t="shared" si="3"/>
        <v>20.161316122577151</v>
      </c>
      <c r="H16" s="44">
        <f t="shared" si="3"/>
        <v>22.161506928706007</v>
      </c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view="pageBreakPreview" topLeftCell="A2" zoomScale="60" zoomScaleNormal="100" workbookViewId="0">
      <selection activeCell="C5" sqref="C5"/>
    </sheetView>
  </sheetViews>
  <sheetFormatPr defaultRowHeight="15" x14ac:dyDescent="0.25"/>
  <cols>
    <col min="1" max="1" width="22" bestFit="1" customWidth="1"/>
    <col min="2" max="2" width="14.140625" customWidth="1"/>
  </cols>
  <sheetData>
    <row r="1" spans="1:12" s="3" customFormat="1" x14ac:dyDescent="0.25">
      <c r="A1" s="261" t="s">
        <v>1</v>
      </c>
      <c r="B1" s="26"/>
      <c r="C1" s="26" t="s">
        <v>36</v>
      </c>
      <c r="D1" s="26" t="s">
        <v>37</v>
      </c>
      <c r="E1" s="26" t="s">
        <v>38</v>
      </c>
      <c r="F1" s="26" t="s">
        <v>39</v>
      </c>
      <c r="G1" s="26" t="s">
        <v>40</v>
      </c>
      <c r="H1" s="8" t="s">
        <v>41</v>
      </c>
      <c r="I1" s="8" t="s">
        <v>42</v>
      </c>
      <c r="J1" s="8" t="s">
        <v>494</v>
      </c>
      <c r="K1" s="8" t="s">
        <v>495</v>
      </c>
      <c r="L1" s="8" t="s">
        <v>496</v>
      </c>
    </row>
    <row r="2" spans="1:12" x14ac:dyDescent="0.25">
      <c r="A2" s="171"/>
      <c r="B2" s="36"/>
      <c r="C2" s="36"/>
      <c r="D2" s="36"/>
      <c r="E2" s="36"/>
      <c r="F2" s="36"/>
      <c r="G2" s="36"/>
      <c r="H2" s="6"/>
      <c r="I2" s="6"/>
      <c r="J2" s="6"/>
      <c r="K2" s="6"/>
      <c r="L2" s="6"/>
    </row>
    <row r="3" spans="1:12" x14ac:dyDescent="0.25">
      <c r="A3" s="171" t="s">
        <v>589</v>
      </c>
      <c r="B3" s="42">
        <f>+'Capital Cost'!C41</f>
        <v>14.876500000000002</v>
      </c>
      <c r="C3" s="42"/>
      <c r="D3" s="42"/>
      <c r="E3" s="42"/>
      <c r="F3" s="42"/>
      <c r="G3" s="42"/>
      <c r="H3" s="9"/>
      <c r="I3" s="9"/>
      <c r="J3" s="9"/>
      <c r="K3" s="9"/>
      <c r="L3" s="9"/>
    </row>
    <row r="4" spans="1:12" x14ac:dyDescent="0.25">
      <c r="A4" s="171" t="s">
        <v>590</v>
      </c>
      <c r="B4" s="42">
        <v>0.1</v>
      </c>
      <c r="C4" s="42"/>
      <c r="D4" s="42"/>
      <c r="E4" s="42"/>
      <c r="F4" s="42"/>
      <c r="G4" s="42"/>
      <c r="H4" s="9"/>
      <c r="I4" s="9"/>
      <c r="J4" s="9"/>
      <c r="K4" s="9"/>
      <c r="L4" s="9"/>
    </row>
    <row r="5" spans="1:12" x14ac:dyDescent="0.25">
      <c r="A5" s="171" t="s">
        <v>588</v>
      </c>
      <c r="B5" s="42"/>
      <c r="C5" s="42">
        <f>'P&amp;L'!B27</f>
        <v>1.4876500000000001</v>
      </c>
      <c r="D5" s="42">
        <f>'P&amp;L'!C27</f>
        <v>1.4876500000000001</v>
      </c>
      <c r="E5" s="42">
        <f>'P&amp;L'!D27</f>
        <v>1.4876500000000001</v>
      </c>
      <c r="F5" s="42">
        <f>'P&amp;L'!E27</f>
        <v>1.4876500000000001</v>
      </c>
      <c r="G5" s="42">
        <f>'P&amp;L'!F27</f>
        <v>1.4876500000000001</v>
      </c>
      <c r="H5" s="9">
        <f>'P&amp;L'!G27</f>
        <v>1.4876500000000001</v>
      </c>
      <c r="I5" s="9">
        <f>'P&amp;L'!H27</f>
        <v>1.4876500000000001</v>
      </c>
      <c r="J5" s="9">
        <f>'P&amp;L'!I27</f>
        <v>1.4876500000000001</v>
      </c>
      <c r="K5" s="9">
        <f>'P&amp;L'!J27</f>
        <v>1.4876500000000001</v>
      </c>
      <c r="L5" s="9">
        <f>'P&amp;L'!K27</f>
        <v>1.4876500000000001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"/>
  <sheetViews>
    <sheetView view="pageBreakPreview" zoomScale="60" zoomScaleNormal="100" workbookViewId="0">
      <selection activeCell="A2" sqref="A2:L15"/>
    </sheetView>
  </sheetViews>
  <sheetFormatPr defaultRowHeight="15" x14ac:dyDescent="0.25"/>
  <cols>
    <col min="1" max="1" width="9.140625" style="1"/>
    <col min="2" max="2" width="24.140625" style="1" bestFit="1" customWidth="1"/>
    <col min="3" max="7" width="12" style="1" bestFit="1" customWidth="1"/>
    <col min="8" max="9" width="7.85546875" style="1" bestFit="1" customWidth="1"/>
    <col min="10" max="16384" width="9.140625" style="1"/>
  </cols>
  <sheetData>
    <row r="2" spans="1:12" x14ac:dyDescent="0.25">
      <c r="A2" s="15" t="s">
        <v>644</v>
      </c>
      <c r="B2" s="15" t="s">
        <v>1</v>
      </c>
      <c r="C2" s="15" t="s">
        <v>36</v>
      </c>
      <c r="D2" s="15" t="s">
        <v>37</v>
      </c>
      <c r="E2" s="15" t="s">
        <v>38</v>
      </c>
      <c r="F2" s="15" t="s">
        <v>39</v>
      </c>
      <c r="G2" s="15" t="s">
        <v>40</v>
      </c>
      <c r="H2" s="15" t="s">
        <v>41</v>
      </c>
      <c r="I2" s="15" t="s">
        <v>42</v>
      </c>
      <c r="J2" s="15" t="s">
        <v>494</v>
      </c>
      <c r="K2" s="15" t="s">
        <v>495</v>
      </c>
      <c r="L2" s="15" t="s">
        <v>496</v>
      </c>
    </row>
    <row r="3" spans="1:12" x14ac:dyDescent="0.25">
      <c r="A3" s="36"/>
      <c r="B3" s="36"/>
      <c r="C3" s="36"/>
      <c r="D3" s="36"/>
      <c r="E3" s="36"/>
      <c r="F3" s="36"/>
      <c r="G3" s="36"/>
      <c r="H3" s="6"/>
      <c r="I3" s="6"/>
      <c r="J3" s="6"/>
      <c r="K3" s="6"/>
      <c r="L3" s="6"/>
    </row>
    <row r="4" spans="1:12" x14ac:dyDescent="0.25">
      <c r="A4" s="170">
        <v>1</v>
      </c>
      <c r="B4" s="36" t="s">
        <v>394</v>
      </c>
      <c r="C4" s="72">
        <f>BS!C36</f>
        <v>16.490666666666666</v>
      </c>
      <c r="D4" s="72">
        <f>BS!D36</f>
        <v>19.786049999999999</v>
      </c>
      <c r="E4" s="72">
        <f>BS!E36</f>
        <v>22.726858333333336</v>
      </c>
      <c r="F4" s="72">
        <f>BS!F36</f>
        <v>25.831683333333331</v>
      </c>
      <c r="G4" s="72">
        <f>BS!G36</f>
        <v>29.240241666666666</v>
      </c>
      <c r="H4" s="72">
        <f>BS!H36</f>
        <v>32.861858333333338</v>
      </c>
      <c r="I4" s="72">
        <f>BS!I36</f>
        <v>36.706291666666672</v>
      </c>
      <c r="J4" s="72">
        <f>BS!J36</f>
        <v>40.823125000000005</v>
      </c>
      <c r="K4" s="72">
        <f>BS!K36</f>
        <v>45.196533333333342</v>
      </c>
      <c r="L4" s="72">
        <f>BS!L36</f>
        <v>50.060825000000001</v>
      </c>
    </row>
    <row r="5" spans="1:12" x14ac:dyDescent="0.25">
      <c r="A5" s="170">
        <v>2</v>
      </c>
      <c r="B5" s="36" t="s">
        <v>395</v>
      </c>
      <c r="C5" s="72">
        <f>BS!C40+BS!C41</f>
        <v>10.372</v>
      </c>
      <c r="D5" s="72">
        <f>BS!D40+BS!D41</f>
        <v>12.532800000000002</v>
      </c>
      <c r="E5" s="72">
        <f>BS!E40+BS!E41</f>
        <v>14.167899999999999</v>
      </c>
      <c r="F5" s="72">
        <f>BS!F40+BS!F41</f>
        <v>16.166</v>
      </c>
      <c r="G5" s="72">
        <f>BS!G40+BS!G41</f>
        <v>18.0839</v>
      </c>
      <c r="H5" s="72">
        <f>BS!H40+BS!H41</f>
        <v>20.536500000000004</v>
      </c>
      <c r="I5" s="72">
        <f>BS!I40+BS!I41</f>
        <v>22.788</v>
      </c>
      <c r="J5" s="72">
        <f>BS!J40+BS!J41</f>
        <v>25.210899999999999</v>
      </c>
      <c r="K5" s="72">
        <f>BS!K40+BS!K41</f>
        <v>29.1248</v>
      </c>
      <c r="L5" s="72">
        <f>BS!L40+BS!L41</f>
        <v>31.996699999999997</v>
      </c>
    </row>
    <row r="6" spans="1:12" x14ac:dyDescent="0.25">
      <c r="A6" s="170">
        <v>3</v>
      </c>
      <c r="B6" s="36" t="s">
        <v>396</v>
      </c>
      <c r="C6" s="73">
        <f>BS!C22</f>
        <v>14.483712500000001</v>
      </c>
      <c r="D6" s="73">
        <f>BS!D22</f>
        <v>15.970933125</v>
      </c>
      <c r="E6" s="73">
        <f>BS!E22</f>
        <v>17.96829978125</v>
      </c>
      <c r="F6" s="73">
        <f>BS!F22</f>
        <v>20.110716436979168</v>
      </c>
      <c r="G6" s="73">
        <f>BS!G22</f>
        <v>22.433151425494795</v>
      </c>
      <c r="H6" s="73">
        <f>BS!H22</f>
        <v>24.900854830102869</v>
      </c>
      <c r="I6" s="73">
        <f>BS!I22</f>
        <v>27.539159238274674</v>
      </c>
      <c r="J6" s="73">
        <f>BS!J22</f>
        <v>30.309330533521745</v>
      </c>
      <c r="K6" s="73">
        <f>BS!K22</f>
        <v>33.329060393531158</v>
      </c>
      <c r="L6" s="73">
        <f>BS!L22</f>
        <v>36.477142163207724</v>
      </c>
    </row>
    <row r="7" spans="1:12" x14ac:dyDescent="0.25">
      <c r="A7" s="73"/>
      <c r="B7" s="36"/>
      <c r="C7" s="73"/>
      <c r="D7" s="73"/>
      <c r="E7" s="73"/>
      <c r="F7" s="73"/>
      <c r="G7" s="73"/>
      <c r="H7" s="73"/>
      <c r="I7" s="73"/>
      <c r="J7" s="6"/>
      <c r="K7" s="6"/>
      <c r="L7" s="6"/>
    </row>
    <row r="8" spans="1:12" hidden="1" x14ac:dyDescent="0.25">
      <c r="A8" s="171"/>
      <c r="B8" s="36" t="s">
        <v>424</v>
      </c>
      <c r="C8" s="44">
        <f t="shared" ref="C8:L8" si="0">C4+C5-C6</f>
        <v>12.378954166666665</v>
      </c>
      <c r="D8" s="44">
        <f t="shared" si="0"/>
        <v>16.347916874999996</v>
      </c>
      <c r="E8" s="44">
        <f t="shared" si="0"/>
        <v>18.926458552083336</v>
      </c>
      <c r="F8" s="44">
        <f t="shared" si="0"/>
        <v>21.88696689635416</v>
      </c>
      <c r="G8" s="44">
        <f t="shared" si="0"/>
        <v>24.890990241171867</v>
      </c>
      <c r="H8" s="44">
        <f t="shared" si="0"/>
        <v>28.497503503230472</v>
      </c>
      <c r="I8" s="44">
        <f t="shared" si="0"/>
        <v>31.955132428391995</v>
      </c>
      <c r="J8" s="44">
        <f t="shared" si="0"/>
        <v>35.724694466478255</v>
      </c>
      <c r="K8" s="44">
        <f t="shared" si="0"/>
        <v>40.992272939802184</v>
      </c>
      <c r="L8" s="44">
        <f t="shared" si="0"/>
        <v>45.580382836792275</v>
      </c>
    </row>
    <row r="9" spans="1:12" hidden="1" x14ac:dyDescent="0.25">
      <c r="A9" s="171"/>
      <c r="B9" s="36"/>
      <c r="C9" s="73"/>
      <c r="D9" s="73"/>
      <c r="E9" s="73"/>
      <c r="F9" s="73"/>
      <c r="G9" s="73"/>
      <c r="H9" s="73"/>
      <c r="I9" s="73"/>
      <c r="J9" s="6"/>
      <c r="K9" s="6"/>
      <c r="L9" s="6"/>
    </row>
    <row r="10" spans="1:12" hidden="1" x14ac:dyDescent="0.25">
      <c r="A10" s="171"/>
      <c r="B10" s="36"/>
      <c r="C10" s="73"/>
      <c r="D10" s="73"/>
      <c r="E10" s="73"/>
      <c r="F10" s="73"/>
      <c r="G10" s="73"/>
      <c r="H10" s="73"/>
      <c r="I10" s="73"/>
      <c r="J10" s="6"/>
      <c r="K10" s="6"/>
      <c r="L10" s="6"/>
    </row>
    <row r="11" spans="1:12" ht="30" x14ac:dyDescent="0.25">
      <c r="A11" s="172"/>
      <c r="B11" s="10" t="s">
        <v>425</v>
      </c>
      <c r="C11" s="19">
        <f>C4+C5-C6</f>
        <v>12.378954166666665</v>
      </c>
      <c r="D11" s="19">
        <f t="shared" ref="D11:L11" si="1">D4+D5-D6</f>
        <v>16.347916874999996</v>
      </c>
      <c r="E11" s="19">
        <f t="shared" si="1"/>
        <v>18.926458552083336</v>
      </c>
      <c r="F11" s="19">
        <f t="shared" si="1"/>
        <v>21.88696689635416</v>
      </c>
      <c r="G11" s="19">
        <f t="shared" si="1"/>
        <v>24.890990241171867</v>
      </c>
      <c r="H11" s="19">
        <f t="shared" si="1"/>
        <v>28.497503503230472</v>
      </c>
      <c r="I11" s="19">
        <f t="shared" si="1"/>
        <v>31.955132428391995</v>
      </c>
      <c r="J11" s="19">
        <f t="shared" si="1"/>
        <v>35.724694466478255</v>
      </c>
      <c r="K11" s="19">
        <f t="shared" si="1"/>
        <v>40.992272939802184</v>
      </c>
      <c r="L11" s="19">
        <f t="shared" si="1"/>
        <v>45.580382836792275</v>
      </c>
    </row>
    <row r="12" spans="1:12" x14ac:dyDescent="0.25">
      <c r="A12" s="171"/>
      <c r="B12" s="36"/>
      <c r="C12" s="36"/>
      <c r="D12" s="36"/>
      <c r="E12" s="36"/>
      <c r="F12" s="36"/>
      <c r="G12" s="36"/>
      <c r="H12" s="6"/>
      <c r="I12" s="6"/>
      <c r="J12" s="6"/>
      <c r="K12" s="6"/>
      <c r="L12" s="6"/>
    </row>
    <row r="13" spans="1:12" x14ac:dyDescent="0.25">
      <c r="A13" s="171"/>
      <c r="B13" s="36" t="s">
        <v>168</v>
      </c>
      <c r="C13" s="44">
        <f>C11*0.25</f>
        <v>3.0947385416666662</v>
      </c>
      <c r="D13" s="44">
        <f t="shared" ref="D13:L13" si="2">D11*0.25</f>
        <v>4.0869792187499989</v>
      </c>
      <c r="E13" s="44">
        <f t="shared" si="2"/>
        <v>4.7316146380208339</v>
      </c>
      <c r="F13" s="44">
        <f t="shared" si="2"/>
        <v>5.47174172408854</v>
      </c>
      <c r="G13" s="44">
        <f t="shared" si="2"/>
        <v>6.2227475602929667</v>
      </c>
      <c r="H13" s="44">
        <f t="shared" si="2"/>
        <v>7.1243758758076181</v>
      </c>
      <c r="I13" s="44">
        <f t="shared" si="2"/>
        <v>7.9887831070979987</v>
      </c>
      <c r="J13" s="44">
        <f t="shared" si="2"/>
        <v>8.9311736166195637</v>
      </c>
      <c r="K13" s="44">
        <f t="shared" si="2"/>
        <v>10.248068234950546</v>
      </c>
      <c r="L13" s="44">
        <f t="shared" si="2"/>
        <v>11.395095709198069</v>
      </c>
    </row>
    <row r="14" spans="1:12" x14ac:dyDescent="0.25">
      <c r="A14" s="171"/>
      <c r="B14" s="36"/>
      <c r="C14" s="36"/>
      <c r="D14" s="36"/>
      <c r="E14" s="36"/>
      <c r="F14" s="36"/>
      <c r="G14" s="36"/>
      <c r="H14" s="6"/>
      <c r="I14" s="6"/>
      <c r="J14" s="6"/>
      <c r="K14" s="6"/>
      <c r="L14" s="6"/>
    </row>
    <row r="15" spans="1:12" ht="30" x14ac:dyDescent="0.25">
      <c r="A15" s="171"/>
      <c r="B15" s="265" t="s">
        <v>595</v>
      </c>
      <c r="C15" s="44">
        <f>C11-C13</f>
        <v>9.2842156249999981</v>
      </c>
      <c r="D15" s="44">
        <f t="shared" ref="D15:L15" si="3">D11-D13</f>
        <v>12.260937656249997</v>
      </c>
      <c r="E15" s="44">
        <f t="shared" si="3"/>
        <v>14.194843914062503</v>
      </c>
      <c r="F15" s="44">
        <f t="shared" si="3"/>
        <v>16.415225172265622</v>
      </c>
      <c r="G15" s="44">
        <f t="shared" si="3"/>
        <v>18.668242680878901</v>
      </c>
      <c r="H15" s="44">
        <f t="shared" si="3"/>
        <v>21.373127627422853</v>
      </c>
      <c r="I15" s="44">
        <f t="shared" si="3"/>
        <v>23.966349321293997</v>
      </c>
      <c r="J15" s="44">
        <f t="shared" si="3"/>
        <v>26.793520849858691</v>
      </c>
      <c r="K15" s="44">
        <f t="shared" si="3"/>
        <v>30.74420470485164</v>
      </c>
      <c r="L15" s="44">
        <f t="shared" si="3"/>
        <v>34.185287127594208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view="pageBreakPreview" topLeftCell="A21" zoomScale="60" zoomScaleNormal="100" workbookViewId="0">
      <selection activeCell="D34" sqref="C34:L34"/>
    </sheetView>
  </sheetViews>
  <sheetFormatPr defaultRowHeight="15" x14ac:dyDescent="0.25"/>
  <cols>
    <col min="1" max="1" width="4" style="60" bestFit="1" customWidth="1"/>
    <col min="2" max="2" width="76.28515625" style="1" bestFit="1" customWidth="1"/>
    <col min="3" max="3" width="23.7109375" style="1" bestFit="1" customWidth="1"/>
    <col min="4" max="4" width="19.85546875" style="1" bestFit="1" customWidth="1"/>
    <col min="5" max="12" width="12.28515625" style="1" bestFit="1" customWidth="1"/>
    <col min="13" max="16384" width="9.140625" style="1"/>
  </cols>
  <sheetData>
    <row r="1" spans="1:12" x14ac:dyDescent="0.25">
      <c r="A1" s="129"/>
      <c r="B1" s="130" t="s">
        <v>633</v>
      </c>
    </row>
    <row r="2" spans="1:12" x14ac:dyDescent="0.25">
      <c r="A2" s="2">
        <v>1</v>
      </c>
      <c r="B2" s="3" t="s">
        <v>370</v>
      </c>
    </row>
    <row r="3" spans="1:12" x14ac:dyDescent="0.25">
      <c r="A3" s="131" t="s">
        <v>331</v>
      </c>
      <c r="B3" s="1" t="s">
        <v>371</v>
      </c>
      <c r="C3" s="1" t="s">
        <v>642</v>
      </c>
    </row>
    <row r="4" spans="1:12" x14ac:dyDescent="0.25">
      <c r="A4" s="131" t="s">
        <v>332</v>
      </c>
      <c r="B4" s="1" t="s">
        <v>372</v>
      </c>
      <c r="C4" s="1" t="s">
        <v>643</v>
      </c>
    </row>
    <row r="6" spans="1:12" x14ac:dyDescent="0.25">
      <c r="A6" s="2">
        <v>2</v>
      </c>
      <c r="B6" s="3" t="s">
        <v>362</v>
      </c>
      <c r="C6" s="3" t="s">
        <v>373</v>
      </c>
      <c r="D6" s="3" t="s">
        <v>451</v>
      </c>
    </row>
    <row r="7" spans="1:12" x14ac:dyDescent="0.25">
      <c r="B7" s="1" t="s">
        <v>374</v>
      </c>
      <c r="C7" s="79">
        <v>3.1699999999999999E-2</v>
      </c>
      <c r="D7" s="79">
        <v>6.3299999999999995E-2</v>
      </c>
    </row>
    <row r="8" spans="1:12" x14ac:dyDescent="0.25">
      <c r="B8" s="1" t="s">
        <v>375</v>
      </c>
      <c r="C8" s="38">
        <v>0.1</v>
      </c>
      <c r="D8" s="38">
        <v>0.15</v>
      </c>
    </row>
    <row r="10" spans="1:12" x14ac:dyDescent="0.25">
      <c r="A10" s="2">
        <v>3</v>
      </c>
      <c r="B10" s="3" t="s">
        <v>376</v>
      </c>
      <c r="C10" s="3" t="s">
        <v>64</v>
      </c>
    </row>
    <row r="12" spans="1:12" x14ac:dyDescent="0.25">
      <c r="A12" s="2">
        <v>4</v>
      </c>
      <c r="B12" s="3" t="s">
        <v>146</v>
      </c>
      <c r="C12" s="126" t="s">
        <v>36</v>
      </c>
      <c r="D12" s="126" t="s">
        <v>37</v>
      </c>
      <c r="E12" s="126" t="s">
        <v>38</v>
      </c>
      <c r="F12" s="126" t="s">
        <v>39</v>
      </c>
      <c r="G12" s="126" t="s">
        <v>40</v>
      </c>
      <c r="H12" s="126" t="s">
        <v>41</v>
      </c>
      <c r="I12" s="126" t="s">
        <v>42</v>
      </c>
      <c r="J12" s="216" t="s">
        <v>494</v>
      </c>
      <c r="K12" s="216" t="s">
        <v>495</v>
      </c>
      <c r="L12" s="216" t="s">
        <v>496</v>
      </c>
    </row>
    <row r="13" spans="1:12" x14ac:dyDescent="0.25">
      <c r="A13" s="131" t="s">
        <v>331</v>
      </c>
      <c r="B13" s="125" t="s">
        <v>377</v>
      </c>
      <c r="C13" s="127">
        <f>'Output Schedule'!B8</f>
        <v>0.5</v>
      </c>
      <c r="D13" s="127">
        <f>'Output Schedule'!C8</f>
        <v>0.55000000000000004</v>
      </c>
      <c r="E13" s="127">
        <f>'Output Schedule'!D8</f>
        <v>0.60000000000000009</v>
      </c>
      <c r="F13" s="127">
        <f>'Output Schedule'!E8</f>
        <v>0.65000000000000013</v>
      </c>
      <c r="G13" s="127">
        <f>'Output Schedule'!F8</f>
        <v>0.70000000000000018</v>
      </c>
      <c r="H13" s="127">
        <f>'Output Schedule'!G8</f>
        <v>0.75000000000000022</v>
      </c>
      <c r="I13" s="127">
        <f>'Output Schedule'!H8</f>
        <v>0.80000000000000027</v>
      </c>
      <c r="J13" s="127">
        <f>'Output Schedule'!I8</f>
        <v>0.85000000000000031</v>
      </c>
      <c r="K13" s="127">
        <f>'Output Schedule'!J8</f>
        <v>0.90000000000000036</v>
      </c>
      <c r="L13" s="127">
        <f>'Output Schedule'!K8</f>
        <v>0.9500000000000004</v>
      </c>
    </row>
    <row r="14" spans="1:12" x14ac:dyDescent="0.25">
      <c r="A14" s="131" t="s">
        <v>332</v>
      </c>
      <c r="B14" s="125" t="s">
        <v>162</v>
      </c>
      <c r="C14" s="127">
        <f>'Output Schedule'!B9</f>
        <v>0.5</v>
      </c>
      <c r="D14" s="127">
        <f>'Output Schedule'!C9</f>
        <v>0.55000000000000004</v>
      </c>
      <c r="E14" s="127">
        <f>'Output Schedule'!D9</f>
        <v>0.60000000000000009</v>
      </c>
      <c r="F14" s="127">
        <f>'Output Schedule'!E9</f>
        <v>0.65000000000000013</v>
      </c>
      <c r="G14" s="127">
        <f>'Output Schedule'!F9</f>
        <v>0.70000000000000018</v>
      </c>
      <c r="H14" s="127">
        <f>'Output Schedule'!G9</f>
        <v>0.75000000000000022</v>
      </c>
      <c r="I14" s="127">
        <f>'Output Schedule'!H9</f>
        <v>0.80000000000000027</v>
      </c>
      <c r="J14" s="127">
        <f>'Output Schedule'!I9</f>
        <v>0.85000000000000031</v>
      </c>
      <c r="K14" s="127">
        <f>'Output Schedule'!J9</f>
        <v>0.90000000000000036</v>
      </c>
      <c r="L14" s="127">
        <f>'Output Schedule'!K9</f>
        <v>0.9500000000000004</v>
      </c>
    </row>
    <row r="15" spans="1:12" hidden="1" x14ac:dyDescent="0.25">
      <c r="A15" s="131" t="s">
        <v>333</v>
      </c>
      <c r="B15" s="125" t="s">
        <v>450</v>
      </c>
      <c r="C15" s="127">
        <f>'Farm Implement Business'!G4</f>
        <v>0.4</v>
      </c>
      <c r="D15" s="127">
        <f>'Farm Implement Business'!H4</f>
        <v>0.5</v>
      </c>
      <c r="E15" s="127">
        <f>'Farm Implement Business'!I4</f>
        <v>0.55000000000000004</v>
      </c>
      <c r="F15" s="127">
        <f>'Farm Implement Business'!J4</f>
        <v>0.60000000000000009</v>
      </c>
      <c r="G15" s="127">
        <f>'Farm Implement Business'!K4</f>
        <v>0.65000000000000013</v>
      </c>
      <c r="H15" s="127">
        <f>'Farm Implement Business'!L4</f>
        <v>0.65000000000000013</v>
      </c>
      <c r="I15" s="127">
        <f>'Farm Implement Business'!M4</f>
        <v>0.65000000000000013</v>
      </c>
    </row>
    <row r="17" spans="1:12" x14ac:dyDescent="0.25">
      <c r="A17" s="2">
        <v>5</v>
      </c>
      <c r="B17" s="3" t="s">
        <v>378</v>
      </c>
    </row>
    <row r="18" spans="1:12" x14ac:dyDescent="0.25">
      <c r="A18" s="131" t="s">
        <v>331</v>
      </c>
      <c r="B18" s="125" t="str">
        <f>+'Output Schedule'!A20</f>
        <v>Rice</v>
      </c>
      <c r="C18" s="263">
        <f>+'Output Schedule'!L20</f>
        <v>0.5</v>
      </c>
    </row>
    <row r="19" spans="1:12" x14ac:dyDescent="0.25">
      <c r="A19" s="131" t="s">
        <v>332</v>
      </c>
      <c r="B19" s="125" t="str">
        <f>+'Output Schedule'!A21</f>
        <v>Husk</v>
      </c>
      <c r="C19" s="263">
        <f>+'Output Schedule'!L21</f>
        <v>0.2</v>
      </c>
    </row>
    <row r="20" spans="1:12" x14ac:dyDescent="0.25">
      <c r="A20" s="131" t="s">
        <v>333</v>
      </c>
      <c r="B20" s="125" t="str">
        <f>+'Output Schedule'!A22</f>
        <v>Broken</v>
      </c>
      <c r="C20" s="263">
        <f>+'Output Schedule'!L22</f>
        <v>0.2</v>
      </c>
    </row>
    <row r="21" spans="1:12" x14ac:dyDescent="0.25">
      <c r="A21" s="131" t="s">
        <v>431</v>
      </c>
      <c r="B21" s="125" t="str">
        <f>+'Output Schedule'!A23</f>
        <v>Bran</v>
      </c>
      <c r="C21" s="263">
        <f>+'Output Schedule'!L23</f>
        <v>0.08</v>
      </c>
    </row>
    <row r="23" spans="1:12" x14ac:dyDescent="0.25">
      <c r="A23" s="2">
        <v>6</v>
      </c>
      <c r="B23" s="128" t="s">
        <v>379</v>
      </c>
      <c r="C23" s="126" t="s">
        <v>36</v>
      </c>
      <c r="D23" s="126" t="s">
        <v>37</v>
      </c>
      <c r="E23" s="126" t="s">
        <v>38</v>
      </c>
      <c r="F23" s="126" t="s">
        <v>39</v>
      </c>
      <c r="G23" s="126" t="s">
        <v>40</v>
      </c>
      <c r="H23" s="126" t="s">
        <v>41</v>
      </c>
      <c r="I23" s="126" t="s">
        <v>42</v>
      </c>
      <c r="J23" s="216" t="s">
        <v>494</v>
      </c>
      <c r="K23" s="216" t="s">
        <v>495</v>
      </c>
      <c r="L23" s="216" t="s">
        <v>496</v>
      </c>
    </row>
    <row r="24" spans="1:12" x14ac:dyDescent="0.25">
      <c r="B24" s="1" t="str">
        <f>'Output Schedule'!A34</f>
        <v>No of days of opertaion (JW Services)</v>
      </c>
      <c r="C24" s="1">
        <f>'Output Schedule'!B34</f>
        <v>113</v>
      </c>
      <c r="D24" s="1">
        <f>'Output Schedule'!C34</f>
        <v>124</v>
      </c>
      <c r="E24" s="1">
        <f>'Output Schedule'!D34</f>
        <v>135</v>
      </c>
      <c r="F24" s="1">
        <f>'Output Schedule'!E34</f>
        <v>146</v>
      </c>
      <c r="G24" s="1">
        <f>'Output Schedule'!F34</f>
        <v>158</v>
      </c>
      <c r="H24" s="1">
        <f>'Output Schedule'!G34</f>
        <v>169</v>
      </c>
      <c r="I24" s="1">
        <f>'Output Schedule'!H34</f>
        <v>180</v>
      </c>
      <c r="J24" s="1">
        <f>'Output Schedule'!I34</f>
        <v>191</v>
      </c>
      <c r="K24" s="1">
        <f>'Output Schedule'!J34</f>
        <v>203</v>
      </c>
      <c r="L24" s="1">
        <f>'Output Schedule'!K34</f>
        <v>214</v>
      </c>
    </row>
    <row r="25" spans="1:12" x14ac:dyDescent="0.25">
      <c r="B25" s="1" t="str">
        <f>'Output Schedule'!A35</f>
        <v>No of days of opertaion (Captive Operations)</v>
      </c>
      <c r="C25" s="1">
        <f>'Output Schedule'!B35</f>
        <v>13</v>
      </c>
      <c r="D25" s="1">
        <f>'Output Schedule'!C35</f>
        <v>14</v>
      </c>
      <c r="E25" s="1">
        <f>'Output Schedule'!D35</f>
        <v>15</v>
      </c>
      <c r="F25" s="1">
        <f>'Output Schedule'!E35</f>
        <v>16</v>
      </c>
      <c r="G25" s="1">
        <f>'Output Schedule'!F35</f>
        <v>18</v>
      </c>
      <c r="H25" s="1">
        <f>'Output Schedule'!G35</f>
        <v>19</v>
      </c>
      <c r="I25" s="1">
        <f>'Output Schedule'!H35</f>
        <v>20</v>
      </c>
      <c r="J25" s="1">
        <f>'Output Schedule'!I35</f>
        <v>21</v>
      </c>
      <c r="K25" s="1">
        <f>'Output Schedule'!J35</f>
        <v>23</v>
      </c>
      <c r="L25" s="1">
        <f>'Output Schedule'!K35</f>
        <v>24</v>
      </c>
    </row>
    <row r="27" spans="1:12" x14ac:dyDescent="0.25">
      <c r="B27" s="3" t="str">
        <f>'Output Schedule'!A37</f>
        <v>Total Working days of the Facilty</v>
      </c>
      <c r="C27" s="3">
        <f>'Output Schedule'!B37</f>
        <v>126</v>
      </c>
      <c r="D27" s="3">
        <f>'Output Schedule'!C37</f>
        <v>138</v>
      </c>
      <c r="E27" s="3">
        <f>'Output Schedule'!D37</f>
        <v>150</v>
      </c>
      <c r="F27" s="3">
        <f>'Output Schedule'!E37</f>
        <v>162</v>
      </c>
      <c r="G27" s="3">
        <f>'Output Schedule'!F37</f>
        <v>176</v>
      </c>
      <c r="H27" s="3">
        <f>'Output Schedule'!G37</f>
        <v>188</v>
      </c>
      <c r="I27" s="3">
        <f>'Output Schedule'!H37</f>
        <v>200</v>
      </c>
      <c r="J27" s="3">
        <f>'Output Schedule'!I37</f>
        <v>212</v>
      </c>
      <c r="K27" s="3">
        <f>'Output Schedule'!J37</f>
        <v>226</v>
      </c>
      <c r="L27" s="3">
        <f>'Output Schedule'!K37</f>
        <v>238</v>
      </c>
    </row>
    <row r="29" spans="1:12" x14ac:dyDescent="0.25">
      <c r="A29" s="60">
        <v>7</v>
      </c>
      <c r="B29" s="1" t="s">
        <v>380</v>
      </c>
      <c r="C29" s="1" t="s">
        <v>381</v>
      </c>
    </row>
    <row r="30" spans="1:12" x14ac:dyDescent="0.25">
      <c r="A30" s="60">
        <v>8</v>
      </c>
      <c r="B30" s="1" t="s">
        <v>382</v>
      </c>
      <c r="C30" s="1" t="s">
        <v>381</v>
      </c>
    </row>
    <row r="31" spans="1:12" hidden="1" x14ac:dyDescent="0.25">
      <c r="A31" s="60">
        <v>9</v>
      </c>
      <c r="B31" s="1" t="s">
        <v>456</v>
      </c>
      <c r="C31" s="1" t="s">
        <v>464</v>
      </c>
    </row>
    <row r="33" spans="1:12" x14ac:dyDescent="0.25">
      <c r="A33" s="60">
        <v>9</v>
      </c>
      <c r="B33" s="3" t="s">
        <v>383</v>
      </c>
      <c r="C33" s="126" t="s">
        <v>36</v>
      </c>
      <c r="D33" s="126" t="s">
        <v>37</v>
      </c>
      <c r="E33" s="126" t="s">
        <v>38</v>
      </c>
      <c r="F33" s="126" t="s">
        <v>39</v>
      </c>
      <c r="G33" s="126" t="s">
        <v>40</v>
      </c>
      <c r="H33" s="126" t="s">
        <v>41</v>
      </c>
      <c r="I33" s="126" t="s">
        <v>42</v>
      </c>
      <c r="J33" s="216" t="s">
        <v>494</v>
      </c>
      <c r="K33" s="216" t="s">
        <v>495</v>
      </c>
      <c r="L33" s="216" t="s">
        <v>496</v>
      </c>
    </row>
    <row r="34" spans="1:12" x14ac:dyDescent="0.25">
      <c r="B34" s="1" t="s">
        <v>592</v>
      </c>
      <c r="C34" s="319">
        <f>'Purchase Schedule'!B4</f>
        <v>23200</v>
      </c>
      <c r="D34" s="319">
        <f>'Purchase Schedule'!C4</f>
        <v>24360</v>
      </c>
      <c r="E34" s="319">
        <f>'Purchase Schedule'!D4</f>
        <v>25580</v>
      </c>
      <c r="F34" s="319">
        <f>'Purchase Schedule'!E4</f>
        <v>26860</v>
      </c>
      <c r="G34" s="319">
        <f>'Purchase Schedule'!F4</f>
        <v>28200</v>
      </c>
      <c r="H34" s="319">
        <f>'Purchase Schedule'!G4</f>
        <v>29610</v>
      </c>
      <c r="I34" s="319">
        <f>'Purchase Schedule'!H4</f>
        <v>31090</v>
      </c>
      <c r="J34" s="319">
        <f>'Purchase Schedule'!I4</f>
        <v>32640</v>
      </c>
      <c r="K34" s="319">
        <f>'Purchase Schedule'!J4</f>
        <v>34270</v>
      </c>
      <c r="L34" s="319">
        <f>'Purchase Schedule'!K4</f>
        <v>35980</v>
      </c>
    </row>
    <row r="35" spans="1:12" x14ac:dyDescent="0.25">
      <c r="C35" s="25"/>
      <c r="D35" s="25"/>
      <c r="E35" s="25"/>
      <c r="F35" s="25"/>
      <c r="G35" s="25"/>
      <c r="H35" s="25"/>
      <c r="I35" s="25"/>
    </row>
    <row r="36" spans="1:12" hidden="1" x14ac:dyDescent="0.25">
      <c r="C36" s="185" t="s">
        <v>36</v>
      </c>
      <c r="D36" s="185" t="s">
        <v>37</v>
      </c>
      <c r="E36" s="185" t="s">
        <v>38</v>
      </c>
      <c r="F36" s="185" t="s">
        <v>39</v>
      </c>
      <c r="G36" s="185" t="s">
        <v>40</v>
      </c>
      <c r="H36" s="185" t="s">
        <v>41</v>
      </c>
      <c r="I36" s="185" t="s">
        <v>42</v>
      </c>
    </row>
    <row r="37" spans="1:12" hidden="1" x14ac:dyDescent="0.25">
      <c r="A37" s="60">
        <v>11</v>
      </c>
      <c r="B37" s="1" t="s">
        <v>458</v>
      </c>
      <c r="C37" s="25">
        <f>'Production Level Support'!B3</f>
        <v>0</v>
      </c>
      <c r="D37" s="25">
        <f>'Production Level Support'!C3</f>
        <v>0</v>
      </c>
      <c r="E37" s="25">
        <f>'Production Level Support'!D3</f>
        <v>0</v>
      </c>
      <c r="F37" s="25">
        <f>'Production Level Support'!E3</f>
        <v>0</v>
      </c>
      <c r="G37" s="25">
        <f>'Production Level Support'!F3</f>
        <v>0</v>
      </c>
      <c r="H37" s="25">
        <f>'Production Level Support'!G3</f>
        <v>0</v>
      </c>
      <c r="I37" s="25">
        <f>'Production Level Support'!H3</f>
        <v>0</v>
      </c>
    </row>
    <row r="38" spans="1:12" hidden="1" x14ac:dyDescent="0.25">
      <c r="C38" s="25"/>
      <c r="D38" s="25"/>
      <c r="E38" s="25"/>
      <c r="F38" s="25"/>
      <c r="G38" s="25"/>
      <c r="H38" s="25"/>
      <c r="I38" s="25"/>
    </row>
    <row r="39" spans="1:12" hidden="1" x14ac:dyDescent="0.25">
      <c r="C39" s="185" t="s">
        <v>36</v>
      </c>
      <c r="D39" s="185" t="s">
        <v>37</v>
      </c>
      <c r="E39" s="185" t="s">
        <v>38</v>
      </c>
      <c r="F39" s="185" t="s">
        <v>39</v>
      </c>
      <c r="G39" s="185" t="s">
        <v>40</v>
      </c>
      <c r="H39" s="185" t="s">
        <v>41</v>
      </c>
      <c r="I39" s="185" t="s">
        <v>42</v>
      </c>
    </row>
    <row r="40" spans="1:12" hidden="1" x14ac:dyDescent="0.25">
      <c r="A40" s="60">
        <v>12</v>
      </c>
      <c r="B40" s="1" t="s">
        <v>461</v>
      </c>
      <c r="C40" s="38">
        <v>0.85</v>
      </c>
      <c r="D40" s="38">
        <v>0.85</v>
      </c>
      <c r="E40" s="38">
        <v>0.85</v>
      </c>
      <c r="F40" s="38">
        <v>0.85</v>
      </c>
      <c r="G40" s="38">
        <v>0.85</v>
      </c>
      <c r="H40" s="38">
        <v>0.85</v>
      </c>
      <c r="I40" s="38">
        <v>0.85</v>
      </c>
    </row>
    <row r="41" spans="1:12" x14ac:dyDescent="0.25">
      <c r="C41" s="25"/>
      <c r="D41" s="25"/>
      <c r="E41" s="25"/>
      <c r="F41" s="25"/>
      <c r="G41" s="25"/>
      <c r="H41" s="25"/>
      <c r="I41" s="25"/>
    </row>
    <row r="42" spans="1:12" x14ac:dyDescent="0.25">
      <c r="A42" s="60">
        <v>10</v>
      </c>
      <c r="B42" s="3" t="s">
        <v>459</v>
      </c>
      <c r="C42" s="126" t="s">
        <v>36</v>
      </c>
      <c r="D42" s="126" t="s">
        <v>37</v>
      </c>
      <c r="E42" s="126" t="s">
        <v>38</v>
      </c>
      <c r="F42" s="126" t="s">
        <v>39</v>
      </c>
      <c r="G42" s="126" t="s">
        <v>40</v>
      </c>
      <c r="H42" s="126" t="s">
        <v>41</v>
      </c>
      <c r="I42" s="126" t="s">
        <v>42</v>
      </c>
      <c r="J42" s="216" t="s">
        <v>494</v>
      </c>
      <c r="K42" s="216" t="s">
        <v>495</v>
      </c>
      <c r="L42" s="216" t="s">
        <v>496</v>
      </c>
    </row>
    <row r="43" spans="1:12" x14ac:dyDescent="0.25">
      <c r="B43" s="1" t="s">
        <v>630</v>
      </c>
      <c r="C43" s="319">
        <f>'Output Schedule'!B13</f>
        <v>1100</v>
      </c>
      <c r="D43" s="319">
        <f>'Output Schedule'!C13</f>
        <v>1155</v>
      </c>
      <c r="E43" s="319">
        <f>'Output Schedule'!D13</f>
        <v>1213</v>
      </c>
      <c r="F43" s="319">
        <f>'Output Schedule'!E13</f>
        <v>1274</v>
      </c>
      <c r="G43" s="319">
        <f>'Output Schedule'!F13</f>
        <v>1338</v>
      </c>
      <c r="H43" s="319">
        <f>'Output Schedule'!G13</f>
        <v>1405</v>
      </c>
      <c r="I43" s="319">
        <f>'Output Schedule'!H13</f>
        <v>1475</v>
      </c>
      <c r="J43" s="319">
        <f>'Output Schedule'!I13</f>
        <v>1549</v>
      </c>
      <c r="K43" s="319">
        <f>'Output Schedule'!J13</f>
        <v>1626</v>
      </c>
      <c r="L43" s="319">
        <f>'Output Schedule'!K13</f>
        <v>1707</v>
      </c>
    </row>
    <row r="44" spans="1:12" hidden="1" x14ac:dyDescent="0.25">
      <c r="A44" s="60" t="s">
        <v>332</v>
      </c>
      <c r="B44" s="1" t="s">
        <v>460</v>
      </c>
      <c r="C44" s="25"/>
      <c r="D44" s="25"/>
      <c r="E44" s="25"/>
      <c r="F44" s="25"/>
      <c r="G44" s="25"/>
      <c r="H44" s="25"/>
      <c r="I44" s="25"/>
    </row>
    <row r="45" spans="1:12" hidden="1" x14ac:dyDescent="0.25">
      <c r="B45" s="186" t="s">
        <v>462</v>
      </c>
      <c r="C45" s="25">
        <f>'Farm Implement Business'!E5</f>
        <v>1500</v>
      </c>
      <c r="D45" s="25"/>
      <c r="E45" s="25"/>
      <c r="F45" s="25"/>
      <c r="G45" s="25"/>
      <c r="H45" s="25"/>
      <c r="I45" s="25"/>
    </row>
    <row r="46" spans="1:12" hidden="1" x14ac:dyDescent="0.25">
      <c r="B46" s="186" t="s">
        <v>463</v>
      </c>
      <c r="C46" s="25">
        <f>'Farm Implement Business'!E6</f>
        <v>1000</v>
      </c>
      <c r="D46" s="25"/>
      <c r="E46" s="25"/>
      <c r="F46" s="25"/>
      <c r="G46" s="25"/>
      <c r="H46" s="25"/>
      <c r="I46" s="25"/>
    </row>
    <row r="48" spans="1:12" x14ac:dyDescent="0.25">
      <c r="A48" s="60">
        <v>11</v>
      </c>
      <c r="B48" s="3" t="s">
        <v>384</v>
      </c>
      <c r="C48" s="1" t="s">
        <v>385</v>
      </c>
    </row>
    <row r="50" spans="1:12" x14ac:dyDescent="0.25">
      <c r="A50" s="60">
        <v>12</v>
      </c>
      <c r="B50" s="3" t="s">
        <v>386</v>
      </c>
      <c r="C50" s="126" t="s">
        <v>36</v>
      </c>
      <c r="D50" s="126" t="s">
        <v>37</v>
      </c>
      <c r="E50" s="126" t="s">
        <v>38</v>
      </c>
      <c r="F50" s="126" t="s">
        <v>39</v>
      </c>
      <c r="G50" s="126" t="s">
        <v>40</v>
      </c>
      <c r="H50" s="126" t="s">
        <v>41</v>
      </c>
      <c r="I50" s="126" t="s">
        <v>42</v>
      </c>
      <c r="J50" s="216" t="s">
        <v>494</v>
      </c>
      <c r="K50" s="216" t="s">
        <v>495</v>
      </c>
      <c r="L50" s="216" t="s">
        <v>496</v>
      </c>
    </row>
    <row r="51" spans="1:12" x14ac:dyDescent="0.25">
      <c r="A51" s="131" t="s">
        <v>331</v>
      </c>
      <c r="B51" s="1" t="str">
        <f>'CS-FG'!B29</f>
        <v>Rice</v>
      </c>
      <c r="C51" s="25">
        <f>'CS-FG'!C29</f>
        <v>45000</v>
      </c>
      <c r="D51" s="25">
        <f>'CS-FG'!D29</f>
        <v>47250</v>
      </c>
      <c r="E51" s="25">
        <f>'CS-FG'!E29</f>
        <v>49610</v>
      </c>
      <c r="F51" s="25">
        <f>'CS-FG'!F29</f>
        <v>52090</v>
      </c>
      <c r="G51" s="25">
        <f>'CS-FG'!G29</f>
        <v>54690</v>
      </c>
      <c r="H51" s="25">
        <f>'CS-FG'!H29</f>
        <v>57420</v>
      </c>
      <c r="I51" s="25">
        <f>'CS-FG'!I29</f>
        <v>60290</v>
      </c>
      <c r="J51" s="25">
        <f>'CS-FG'!J29</f>
        <v>63300</v>
      </c>
      <c r="K51" s="25">
        <f>'CS-FG'!K29</f>
        <v>66470</v>
      </c>
      <c r="L51" s="25">
        <f>'CS-FG'!L29</f>
        <v>69790</v>
      </c>
    </row>
    <row r="52" spans="1:12" x14ac:dyDescent="0.25">
      <c r="A52" s="131" t="s">
        <v>332</v>
      </c>
      <c r="B52" s="1" t="str">
        <f>'CS-FG'!B30</f>
        <v>Husk</v>
      </c>
      <c r="C52" s="25">
        <f>'CS-FG'!C30</f>
        <v>2000</v>
      </c>
      <c r="D52" s="25">
        <f>'CS-FG'!D30</f>
        <v>2100</v>
      </c>
      <c r="E52" s="25">
        <f>'CS-FG'!E30</f>
        <v>2210</v>
      </c>
      <c r="F52" s="25">
        <f>'CS-FG'!F30</f>
        <v>2320</v>
      </c>
      <c r="G52" s="25">
        <f>'CS-FG'!G30</f>
        <v>2440</v>
      </c>
      <c r="H52" s="25">
        <f>'CS-FG'!H30</f>
        <v>2560</v>
      </c>
      <c r="I52" s="25">
        <f>'CS-FG'!I30</f>
        <v>2690</v>
      </c>
      <c r="J52" s="25">
        <f>'CS-FG'!J30</f>
        <v>2820</v>
      </c>
      <c r="K52" s="25">
        <f>'CS-FG'!K30</f>
        <v>2960</v>
      </c>
      <c r="L52" s="25">
        <f>'CS-FG'!L30</f>
        <v>3110</v>
      </c>
    </row>
    <row r="53" spans="1:12" x14ac:dyDescent="0.25">
      <c r="A53" s="131" t="s">
        <v>333</v>
      </c>
      <c r="B53" s="1" t="str">
        <f>'CS-FG'!B31</f>
        <v>Broken</v>
      </c>
      <c r="C53" s="25">
        <f>'CS-FG'!C31</f>
        <v>18000</v>
      </c>
      <c r="D53" s="25">
        <f>'CS-FG'!D31</f>
        <v>18900</v>
      </c>
      <c r="E53" s="25">
        <f>'CS-FG'!E31</f>
        <v>19850</v>
      </c>
      <c r="F53" s="25">
        <f>'CS-FG'!F31</f>
        <v>20840</v>
      </c>
      <c r="G53" s="25">
        <f>'CS-FG'!G31</f>
        <v>21880</v>
      </c>
      <c r="H53" s="25">
        <f>'CS-FG'!H31</f>
        <v>22970</v>
      </c>
      <c r="I53" s="25">
        <f>'CS-FG'!I31</f>
        <v>24120</v>
      </c>
      <c r="J53" s="25">
        <f>'CS-FG'!J31</f>
        <v>25330</v>
      </c>
      <c r="K53" s="25">
        <f>'CS-FG'!K31</f>
        <v>26600</v>
      </c>
      <c r="L53" s="25">
        <f>'CS-FG'!L31</f>
        <v>27930</v>
      </c>
    </row>
    <row r="54" spans="1:12" x14ac:dyDescent="0.25">
      <c r="A54" s="131" t="s">
        <v>431</v>
      </c>
      <c r="B54" s="1" t="str">
        <f>'CS-FG'!B32</f>
        <v>Bran</v>
      </c>
      <c r="C54" s="25">
        <f>'CS-FG'!C32</f>
        <v>10000</v>
      </c>
      <c r="D54" s="25">
        <f>'CS-FG'!D32</f>
        <v>10500</v>
      </c>
      <c r="E54" s="25">
        <f>'CS-FG'!E32</f>
        <v>11030</v>
      </c>
      <c r="F54" s="25">
        <f>'CS-FG'!F32</f>
        <v>11580</v>
      </c>
      <c r="G54" s="25">
        <f>'CS-FG'!G32</f>
        <v>12160</v>
      </c>
      <c r="H54" s="25">
        <f>'CS-FG'!H32</f>
        <v>12770</v>
      </c>
      <c r="I54" s="25">
        <f>'CS-FG'!I32</f>
        <v>13410</v>
      </c>
      <c r="J54" s="25">
        <f>'CS-FG'!J32</f>
        <v>14080</v>
      </c>
      <c r="K54" s="25">
        <f>'CS-FG'!K32</f>
        <v>14780</v>
      </c>
      <c r="L54" s="25">
        <f>'CS-FG'!L32</f>
        <v>15520</v>
      </c>
    </row>
    <row r="56" spans="1:12" hidden="1" x14ac:dyDescent="0.25">
      <c r="A56" s="60">
        <v>13</v>
      </c>
      <c r="B56" s="3" t="s">
        <v>387</v>
      </c>
      <c r="C56" s="38">
        <v>0.09</v>
      </c>
    </row>
    <row r="57" spans="1:12" hidden="1" x14ac:dyDescent="0.25"/>
    <row r="58" spans="1:12" hidden="1" x14ac:dyDescent="0.25">
      <c r="A58" s="60">
        <v>14</v>
      </c>
      <c r="B58" s="3" t="s">
        <v>388</v>
      </c>
      <c r="C58" s="1" t="s">
        <v>389</v>
      </c>
    </row>
    <row r="59" spans="1:12" hidden="1" x14ac:dyDescent="0.25"/>
    <row r="60" spans="1:12" hidden="1" x14ac:dyDescent="0.25">
      <c r="A60" s="60">
        <v>15</v>
      </c>
      <c r="B60" s="3" t="s">
        <v>390</v>
      </c>
      <c r="C60" s="79">
        <v>0.309</v>
      </c>
    </row>
    <row r="61" spans="1:12" hidden="1" x14ac:dyDescent="0.25"/>
    <row r="62" spans="1:12" x14ac:dyDescent="0.25">
      <c r="A62" s="60">
        <v>13</v>
      </c>
      <c r="B62" s="3" t="s">
        <v>391</v>
      </c>
      <c r="C62" s="1" t="s">
        <v>392</v>
      </c>
    </row>
    <row r="64" spans="1:12" x14ac:dyDescent="0.25">
      <c r="A64" s="60">
        <v>14</v>
      </c>
      <c r="B64" s="3" t="s">
        <v>393</v>
      </c>
      <c r="C64" s="1" t="s">
        <v>392</v>
      </c>
    </row>
  </sheetData>
  <pageMargins left="0.7" right="0.7" top="0.75" bottom="0.75" header="0.3" footer="0.3"/>
  <pageSetup scale="4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4"/>
  <sheetViews>
    <sheetView view="pageBreakPreview" topLeftCell="A36" zoomScale="60" zoomScaleNormal="100" workbookViewId="0">
      <selection activeCell="A3" sqref="A3:K36"/>
    </sheetView>
  </sheetViews>
  <sheetFormatPr defaultRowHeight="15" x14ac:dyDescent="0.25"/>
  <cols>
    <col min="1" max="1" width="36.5703125" style="5" customWidth="1"/>
    <col min="2" max="5" width="9.85546875" style="1" bestFit="1" customWidth="1"/>
    <col min="6" max="6" width="10.85546875" style="1" bestFit="1" customWidth="1"/>
    <col min="7" max="7" width="10.42578125" style="1" bestFit="1" customWidth="1"/>
    <col min="8" max="8" width="10.85546875" style="1" bestFit="1" customWidth="1"/>
    <col min="9" max="9" width="10.5703125" style="1" bestFit="1" customWidth="1"/>
    <col min="10" max="11" width="10.85546875" style="1" bestFit="1" customWidth="1"/>
    <col min="12" max="13" width="9.140625" style="1"/>
    <col min="14" max="14" width="11" style="1" bestFit="1" customWidth="1"/>
    <col min="15" max="16384" width="9.140625" style="1"/>
  </cols>
  <sheetData>
    <row r="2" spans="1:11" x14ac:dyDescent="0.25">
      <c r="A2" s="344" t="s">
        <v>170</v>
      </c>
      <c r="B2" s="345"/>
      <c r="C2" s="345"/>
      <c r="D2" s="345"/>
      <c r="E2" s="345"/>
      <c r="F2" s="345"/>
      <c r="G2" s="345"/>
      <c r="H2" s="329"/>
      <c r="I2" s="329"/>
      <c r="J2" s="329"/>
      <c r="K2" s="329"/>
    </row>
    <row r="3" spans="1:11" x14ac:dyDescent="0.25">
      <c r="A3" s="115" t="s">
        <v>1</v>
      </c>
      <c r="B3" s="74" t="s">
        <v>36</v>
      </c>
      <c r="C3" s="74" t="s">
        <v>37</v>
      </c>
      <c r="D3" s="74" t="s">
        <v>38</v>
      </c>
      <c r="E3" s="74" t="s">
        <v>39</v>
      </c>
      <c r="F3" s="74" t="s">
        <v>40</v>
      </c>
      <c r="G3" s="74" t="s">
        <v>41</v>
      </c>
      <c r="H3" s="74" t="s">
        <v>42</v>
      </c>
      <c r="I3" s="74" t="s">
        <v>494</v>
      </c>
      <c r="J3" s="74" t="s">
        <v>495</v>
      </c>
      <c r="K3" s="74" t="s">
        <v>496</v>
      </c>
    </row>
    <row r="4" spans="1:11" x14ac:dyDescent="0.25">
      <c r="A4" s="80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x14ac:dyDescent="0.25">
      <c r="A5" s="10" t="s">
        <v>171</v>
      </c>
      <c r="B5" s="45">
        <f>'Sales Schedule'!C18</f>
        <v>131</v>
      </c>
      <c r="C5" s="45">
        <f>'Sales Schedule'!D18</f>
        <v>156.5025</v>
      </c>
      <c r="D5" s="45">
        <f>'Sales Schedule'!E18</f>
        <v>180.1003</v>
      </c>
      <c r="E5" s="45">
        <f>'Sales Schedule'!F18</f>
        <v>204.6696</v>
      </c>
      <c r="F5" s="45">
        <f>'Sales Schedule'!G18</f>
        <v>231.72569999999999</v>
      </c>
      <c r="G5" s="45">
        <f>'Sales Schedule'!H18</f>
        <v>260.32479999999998</v>
      </c>
      <c r="H5" s="45">
        <f>'Sales Schedule'!I18</f>
        <v>292.03550000000001</v>
      </c>
      <c r="I5" s="45">
        <f>'Sales Schedule'!J18</f>
        <v>325.82140000000004</v>
      </c>
      <c r="J5" s="45">
        <f>'Sales Schedule'!K18</f>
        <v>361.33959999999996</v>
      </c>
      <c r="K5" s="45">
        <f>'Sales Schedule'!L18</f>
        <v>401.57580000000002</v>
      </c>
    </row>
    <row r="6" spans="1:11" x14ac:dyDescent="0.25">
      <c r="A6" s="10" t="s">
        <v>639</v>
      </c>
      <c r="B6" s="45">
        <f>'Output Schedule'!B14</f>
        <v>49.5</v>
      </c>
      <c r="C6" s="45">
        <f>'Output Schedule'!C14</f>
        <v>57.172499999999999</v>
      </c>
      <c r="D6" s="45">
        <f>'Output Schedule'!D14</f>
        <v>65.50200000000001</v>
      </c>
      <c r="E6" s="45">
        <f>'Output Schedule'!E14</f>
        <v>74.529000000000011</v>
      </c>
      <c r="F6" s="45">
        <f>'Output Schedule'!F14</f>
        <v>84.294000000000025</v>
      </c>
      <c r="G6" s="45">
        <f>'Output Schedule'!G14</f>
        <v>94.83750000000002</v>
      </c>
      <c r="H6" s="45">
        <f>'Output Schedule'!H14</f>
        <v>106.20000000000003</v>
      </c>
      <c r="I6" s="45">
        <f>'Output Schedule'!I14</f>
        <v>118.49850000000004</v>
      </c>
      <c r="J6" s="45">
        <f>'Output Schedule'!J14</f>
        <v>131.70600000000005</v>
      </c>
      <c r="K6" s="45">
        <f>'Output Schedule'!K14</f>
        <v>145.94850000000005</v>
      </c>
    </row>
    <row r="7" spans="1:11" x14ac:dyDescent="0.25">
      <c r="A7" s="10" t="s">
        <v>700</v>
      </c>
      <c r="B7" s="45">
        <f>+Warehouse!B17</f>
        <v>13.608000000000001</v>
      </c>
      <c r="C7" s="45">
        <f>+Warehouse!C17</f>
        <v>18.899999999999999</v>
      </c>
      <c r="D7" s="45">
        <f>+Warehouse!D17</f>
        <v>21</v>
      </c>
      <c r="E7" s="45">
        <f>+Warehouse!E17</f>
        <v>23.200000000000003</v>
      </c>
      <c r="F7" s="45">
        <f>+Warehouse!F17</f>
        <v>25.500000000000004</v>
      </c>
      <c r="G7" s="45">
        <f>+Warehouse!G17</f>
        <v>27.900000000000006</v>
      </c>
      <c r="H7" s="45">
        <f>+Warehouse!H17</f>
        <v>28.800000000000004</v>
      </c>
      <c r="I7" s="45">
        <f>+Warehouse!I17</f>
        <v>29.700000000000003</v>
      </c>
      <c r="J7" s="45">
        <f>+Warehouse!J17</f>
        <v>30.600000000000005</v>
      </c>
      <c r="K7" s="45">
        <f>+Warehouse!K17</f>
        <v>31.500000000000004</v>
      </c>
    </row>
    <row r="8" spans="1:11" x14ac:dyDescent="0.25">
      <c r="A8" s="10" t="s">
        <v>628</v>
      </c>
      <c r="B8" s="19">
        <f>+'weigh Bridge'!C14</f>
        <v>3.7800000000000002</v>
      </c>
      <c r="C8" s="19">
        <f>+'weigh Bridge'!D14</f>
        <v>4.8575999999999997</v>
      </c>
      <c r="D8" s="19">
        <f>+'weigh Bridge'!E14</f>
        <v>6.12</v>
      </c>
      <c r="E8" s="19">
        <f>+'weigh Bridge'!F14</f>
        <v>7.5815999999999999</v>
      </c>
      <c r="F8" s="19">
        <f>+'weigh Bridge'!G14</f>
        <v>9.3631999999999991</v>
      </c>
      <c r="G8" s="19">
        <f>+'weigh Bridge'!H14</f>
        <v>11.280000000000001</v>
      </c>
      <c r="H8" s="19">
        <f>+'weigh Bridge'!I14</f>
        <v>13.440000000000001</v>
      </c>
      <c r="I8" s="19">
        <f>+'weigh Bridge'!J14</f>
        <v>15.857600000000001</v>
      </c>
      <c r="J8" s="19">
        <f>+'weigh Bridge'!K14</f>
        <v>18.712800000000001</v>
      </c>
      <c r="K8" s="19">
        <f>+'weigh Bridge'!L14</f>
        <v>21.705599999999997</v>
      </c>
    </row>
    <row r="9" spans="1:11" x14ac:dyDescent="0.25">
      <c r="A9" s="375" t="s">
        <v>172</v>
      </c>
      <c r="B9" s="22">
        <f>SUM(B5:B8)</f>
        <v>197.88800000000001</v>
      </c>
      <c r="C9" s="22">
        <f t="shared" ref="C9:K9" si="0">SUM(C5:C8)</f>
        <v>237.43260000000001</v>
      </c>
      <c r="D9" s="22">
        <f t="shared" si="0"/>
        <v>272.72230000000002</v>
      </c>
      <c r="E9" s="22">
        <f t="shared" si="0"/>
        <v>309.98019999999997</v>
      </c>
      <c r="F9" s="22">
        <f t="shared" si="0"/>
        <v>350.88290000000001</v>
      </c>
      <c r="G9" s="22">
        <f t="shared" si="0"/>
        <v>394.34230000000002</v>
      </c>
      <c r="H9" s="22">
        <f t="shared" si="0"/>
        <v>440.47550000000007</v>
      </c>
      <c r="I9" s="22">
        <f t="shared" si="0"/>
        <v>489.87750000000005</v>
      </c>
      <c r="J9" s="22">
        <f t="shared" si="0"/>
        <v>542.35840000000007</v>
      </c>
      <c r="K9" s="22">
        <f t="shared" si="0"/>
        <v>600.72990000000004</v>
      </c>
    </row>
    <row r="10" spans="1:11" x14ac:dyDescent="0.25">
      <c r="A10" s="375"/>
      <c r="B10" s="22"/>
      <c r="C10" s="22"/>
      <c r="D10" s="22"/>
      <c r="E10" s="22"/>
      <c r="F10" s="22"/>
      <c r="G10" s="6"/>
      <c r="H10" s="6"/>
      <c r="I10" s="6"/>
      <c r="J10" s="6"/>
      <c r="K10" s="6"/>
    </row>
    <row r="11" spans="1:11" x14ac:dyDescent="0.25">
      <c r="A11" s="376" t="s">
        <v>173</v>
      </c>
      <c r="B11" s="9">
        <f>'CS-FG'!C51</f>
        <v>0</v>
      </c>
      <c r="C11" s="9">
        <f>'CS-FG'!D51</f>
        <v>5.5</v>
      </c>
      <c r="D11" s="9">
        <f>'CS-FG'!E51</f>
        <v>6.9300000000000006</v>
      </c>
      <c r="E11" s="9">
        <f>'CS-FG'!F51</f>
        <v>7.7728999999999999</v>
      </c>
      <c r="F11" s="9">
        <f>'CS-FG'!G51</f>
        <v>8.9138000000000002</v>
      </c>
      <c r="G11" s="9">
        <f>'CS-FG'!H51</f>
        <v>9.905899999999999</v>
      </c>
      <c r="H11" s="9">
        <f>'CS-FG'!I51</f>
        <v>11.357400000000002</v>
      </c>
      <c r="I11" s="9">
        <f>'CS-FG'!J51</f>
        <v>12.5283</v>
      </c>
      <c r="J11" s="9">
        <f>'CS-FG'!K51</f>
        <v>13.786899999999999</v>
      </c>
      <c r="K11" s="9">
        <f>'CS-FG'!L51</f>
        <v>16.1022</v>
      </c>
    </row>
    <row r="12" spans="1:11" x14ac:dyDescent="0.25">
      <c r="A12" s="33" t="s">
        <v>174</v>
      </c>
      <c r="B12" s="9">
        <f>'CS-FG'!C52</f>
        <v>5.5</v>
      </c>
      <c r="C12" s="9">
        <f>'CS-FG'!D52</f>
        <v>6.9300000000000006</v>
      </c>
      <c r="D12" s="9">
        <f>'CS-FG'!E52</f>
        <v>7.7728999999999999</v>
      </c>
      <c r="E12" s="9">
        <f>'CS-FG'!F52</f>
        <v>8.9138000000000002</v>
      </c>
      <c r="F12" s="9">
        <f>'CS-FG'!G52</f>
        <v>9.905899999999999</v>
      </c>
      <c r="G12" s="9">
        <f>'CS-FG'!H52</f>
        <v>11.357400000000002</v>
      </c>
      <c r="H12" s="9">
        <f>'CS-FG'!I52</f>
        <v>12.5283</v>
      </c>
      <c r="I12" s="9">
        <f>'CS-FG'!J52</f>
        <v>13.786899999999999</v>
      </c>
      <c r="J12" s="9">
        <f>'CS-FG'!K52</f>
        <v>16.1022</v>
      </c>
      <c r="K12" s="9">
        <f>'CS-FG'!L52</f>
        <v>17.604699999999998</v>
      </c>
    </row>
    <row r="13" spans="1:11" x14ac:dyDescent="0.25">
      <c r="A13" s="33"/>
      <c r="B13" s="22"/>
      <c r="C13" s="22"/>
      <c r="D13" s="22"/>
      <c r="E13" s="22"/>
      <c r="F13" s="22"/>
      <c r="G13" s="6"/>
      <c r="H13" s="6"/>
      <c r="I13" s="6"/>
      <c r="J13" s="6"/>
      <c r="K13" s="6"/>
    </row>
    <row r="14" spans="1:11" x14ac:dyDescent="0.25">
      <c r="A14" s="377" t="s">
        <v>175</v>
      </c>
      <c r="B14" s="22">
        <f>B9+B12-B11</f>
        <v>203.38800000000001</v>
      </c>
      <c r="C14" s="22">
        <f t="shared" ref="C14:K14" si="1">C9+C12-C11</f>
        <v>238.86260000000001</v>
      </c>
      <c r="D14" s="22">
        <f t="shared" si="1"/>
        <v>273.5652</v>
      </c>
      <c r="E14" s="22">
        <f t="shared" si="1"/>
        <v>311.12109999999996</v>
      </c>
      <c r="F14" s="22">
        <f t="shared" si="1"/>
        <v>351.875</v>
      </c>
      <c r="G14" s="22">
        <f t="shared" si="1"/>
        <v>395.79380000000003</v>
      </c>
      <c r="H14" s="22">
        <f t="shared" si="1"/>
        <v>441.64640000000009</v>
      </c>
      <c r="I14" s="22">
        <f t="shared" si="1"/>
        <v>491.13610000000006</v>
      </c>
      <c r="J14" s="22">
        <f t="shared" si="1"/>
        <v>544.67370000000017</v>
      </c>
      <c r="K14" s="22">
        <f t="shared" si="1"/>
        <v>602.23239999999998</v>
      </c>
    </row>
    <row r="15" spans="1:11" x14ac:dyDescent="0.25">
      <c r="A15" s="378"/>
      <c r="B15" s="22"/>
      <c r="C15" s="22"/>
      <c r="D15" s="22"/>
      <c r="E15" s="22"/>
      <c r="F15" s="22"/>
      <c r="G15" s="6"/>
      <c r="H15" s="6"/>
      <c r="I15" s="6"/>
      <c r="J15" s="6"/>
      <c r="K15" s="6"/>
    </row>
    <row r="16" spans="1:11" x14ac:dyDescent="0.25">
      <c r="A16" s="376" t="s">
        <v>176</v>
      </c>
      <c r="B16" s="19">
        <f>'Purchase Schedule'!B6</f>
        <v>120.872</v>
      </c>
      <c r="C16" s="19">
        <f>'Purchase Schedule'!C6</f>
        <v>134.46719999999999</v>
      </c>
      <c r="D16" s="19">
        <f>'Purchase Schedule'!D6</f>
        <v>153.99160000000001</v>
      </c>
      <c r="E16" s="19">
        <f>'Purchase Schedule'!E6</f>
        <v>175.12719999999999</v>
      </c>
      <c r="F16" s="19">
        <f>'Purchase Schedule'!F6</f>
        <v>197.964</v>
      </c>
      <c r="G16" s="19">
        <f>'Purchase Schedule'!G6</f>
        <v>222.66720000000001</v>
      </c>
      <c r="H16" s="19">
        <f>'Purchase Schedule'!H6</f>
        <v>249.34180000000001</v>
      </c>
      <c r="I16" s="19">
        <f>'Purchase Schedule'!I6</f>
        <v>278.09280000000001</v>
      </c>
      <c r="J16" s="19">
        <f>'Purchase Schedule'!J6</f>
        <v>309.4581</v>
      </c>
      <c r="K16" s="19">
        <f>'Purchase Schedule'!K6</f>
        <v>342.52960000000002</v>
      </c>
    </row>
    <row r="17" spans="1:11" x14ac:dyDescent="0.25">
      <c r="A17" s="376"/>
      <c r="B17" s="19"/>
      <c r="C17" s="19"/>
      <c r="D17" s="19"/>
      <c r="E17" s="19"/>
      <c r="F17" s="19"/>
      <c r="G17" s="6"/>
      <c r="H17" s="6"/>
      <c r="I17" s="6"/>
      <c r="J17" s="6"/>
      <c r="K17" s="6"/>
    </row>
    <row r="18" spans="1:11" x14ac:dyDescent="0.25">
      <c r="A18" s="376" t="s">
        <v>177</v>
      </c>
      <c r="B18" s="9">
        <f>'CS-RM'!B15</f>
        <v>0</v>
      </c>
      <c r="C18" s="9">
        <f>'CS-RM'!C15</f>
        <v>4.8719999999999999</v>
      </c>
      <c r="D18" s="9">
        <f>'CS-RM'!D15</f>
        <v>5.6028000000000002</v>
      </c>
      <c r="E18" s="9">
        <f>'CS-RM'!E15</f>
        <v>6.3949999999999996</v>
      </c>
      <c r="F18" s="9">
        <f>'CS-RM'!F15</f>
        <v>7.2522000000000002</v>
      </c>
      <c r="G18" s="9">
        <f>'CS-RM'!G15</f>
        <v>8.1780000000000008</v>
      </c>
      <c r="H18" s="9">
        <f>'CS-RM'!H15</f>
        <v>9.1791</v>
      </c>
      <c r="I18" s="9">
        <f>'CS-RM'!I15</f>
        <v>10.2597</v>
      </c>
      <c r="J18" s="9">
        <f>'CS-RM'!J15</f>
        <v>11.423999999999999</v>
      </c>
      <c r="K18" s="9">
        <f>'CS-RM'!K15</f>
        <v>13.022600000000001</v>
      </c>
    </row>
    <row r="19" spans="1:11" x14ac:dyDescent="0.25">
      <c r="A19" s="33" t="s">
        <v>178</v>
      </c>
      <c r="B19" s="9">
        <f>'CS-RM'!B16</f>
        <v>4.8719999999999999</v>
      </c>
      <c r="C19" s="9">
        <f>'CS-RM'!C16</f>
        <v>5.6028000000000002</v>
      </c>
      <c r="D19" s="9">
        <f>'CS-RM'!D16</f>
        <v>6.3949999999999996</v>
      </c>
      <c r="E19" s="9">
        <f>'CS-RM'!E16</f>
        <v>7.2522000000000002</v>
      </c>
      <c r="F19" s="9">
        <f>'CS-RM'!F16</f>
        <v>8.1780000000000008</v>
      </c>
      <c r="G19" s="9">
        <f>'CS-RM'!G16</f>
        <v>9.1791</v>
      </c>
      <c r="H19" s="9">
        <f>'CS-RM'!H16</f>
        <v>10.2597</v>
      </c>
      <c r="I19" s="9">
        <f>'CS-RM'!I16</f>
        <v>11.423999999999999</v>
      </c>
      <c r="J19" s="9">
        <f>'CS-RM'!J16</f>
        <v>13.022600000000001</v>
      </c>
      <c r="K19" s="9">
        <f>'CS-RM'!K16</f>
        <v>14.391999999999999</v>
      </c>
    </row>
    <row r="20" spans="1:11" x14ac:dyDescent="0.25">
      <c r="A20" s="376"/>
      <c r="B20" s="22"/>
      <c r="C20" s="22"/>
      <c r="D20" s="22"/>
      <c r="E20" s="22"/>
      <c r="F20" s="22"/>
      <c r="G20" s="6"/>
      <c r="H20" s="6"/>
      <c r="I20" s="6"/>
      <c r="J20" s="6"/>
      <c r="K20" s="6"/>
    </row>
    <row r="21" spans="1:11" x14ac:dyDescent="0.25">
      <c r="A21" s="377" t="s">
        <v>179</v>
      </c>
      <c r="B21" s="22">
        <f>B16+B18-B19</f>
        <v>116</v>
      </c>
      <c r="C21" s="22">
        <f t="shared" ref="C21:K21" si="2">C16+C18-C19</f>
        <v>133.7364</v>
      </c>
      <c r="D21" s="22">
        <f t="shared" si="2"/>
        <v>153.1994</v>
      </c>
      <c r="E21" s="22">
        <f t="shared" si="2"/>
        <v>174.27</v>
      </c>
      <c r="F21" s="22">
        <f t="shared" si="2"/>
        <v>197.03819999999999</v>
      </c>
      <c r="G21" s="22">
        <f t="shared" si="2"/>
        <v>221.6661</v>
      </c>
      <c r="H21" s="22">
        <f t="shared" si="2"/>
        <v>248.26119999999997</v>
      </c>
      <c r="I21" s="22">
        <f t="shared" si="2"/>
        <v>276.92850000000004</v>
      </c>
      <c r="J21" s="22">
        <f t="shared" si="2"/>
        <v>307.85949999999997</v>
      </c>
      <c r="K21" s="22">
        <f t="shared" si="2"/>
        <v>341.16020000000003</v>
      </c>
    </row>
    <row r="22" spans="1:11" x14ac:dyDescent="0.25">
      <c r="A22" s="375"/>
      <c r="B22" s="22"/>
      <c r="C22" s="22"/>
      <c r="D22" s="22"/>
      <c r="E22" s="22"/>
      <c r="F22" s="22"/>
      <c r="G22" s="6"/>
      <c r="H22" s="6"/>
      <c r="I22" s="6"/>
      <c r="J22" s="6"/>
      <c r="K22" s="6"/>
    </row>
    <row r="23" spans="1:11" x14ac:dyDescent="0.25">
      <c r="A23" s="379" t="s">
        <v>180</v>
      </c>
      <c r="B23" s="35">
        <f>'Opex Schedule'!C18+'Opex Schedule'!C27+'Opex Schedule'!C36</f>
        <v>28.354549999999996</v>
      </c>
      <c r="C23" s="35">
        <f>'Opex Schedule'!D18+'Opex Schedule'!D27+'Opex Schedule'!D36</f>
        <v>29.789997499999998</v>
      </c>
      <c r="D23" s="35">
        <f>'Opex Schedule'!E18+'Opex Schedule'!E27+'Opex Schedule'!E36</f>
        <v>31.297997375000001</v>
      </c>
      <c r="E23" s="35">
        <f>'Opex Schedule'!F18+'Opex Schedule'!F27+'Opex Schedule'!F36</f>
        <v>32.878397243750008</v>
      </c>
      <c r="F23" s="35">
        <f>'Opex Schedule'!G18+'Opex Schedule'!G27+'Opex Schedule'!G36</f>
        <v>34.534817105937506</v>
      </c>
      <c r="G23" s="35">
        <f>'Opex Schedule'!H18+'Opex Schedule'!H27+'Opex Schedule'!H36</f>
        <v>36.271057961234384</v>
      </c>
      <c r="H23" s="35">
        <f>'Opex Schedule'!I18+'Opex Schedule'!I27+'Opex Schedule'!I36</f>
        <v>38.091110859296109</v>
      </c>
      <c r="I23" s="35">
        <f>'Opex Schedule'!J18+'Opex Schedule'!J27+'Opex Schedule'!J36</f>
        <v>39.999166402260911</v>
      </c>
      <c r="J23" s="35">
        <f>'Opex Schedule'!K18+'Opex Schedule'!K27+'Opex Schedule'!K36</f>
        <v>41.999624722373959</v>
      </c>
      <c r="K23" s="35">
        <f>'Opex Schedule'!L18+'Opex Schedule'!L27+'Opex Schedule'!L36</f>
        <v>44.097105958492662</v>
      </c>
    </row>
    <row r="24" spans="1:11" x14ac:dyDescent="0.25">
      <c r="A24" s="375"/>
      <c r="B24" s="22"/>
      <c r="C24" s="22"/>
      <c r="D24" s="22"/>
      <c r="E24" s="22"/>
      <c r="F24" s="22"/>
      <c r="G24" s="6"/>
      <c r="H24" s="6"/>
      <c r="I24" s="6"/>
      <c r="J24" s="6"/>
      <c r="K24" s="6"/>
    </row>
    <row r="25" spans="1:11" x14ac:dyDescent="0.25">
      <c r="A25" s="379" t="s">
        <v>181</v>
      </c>
      <c r="B25" s="22">
        <f>'Opex Schedule'!C52</f>
        <v>24.577999999999999</v>
      </c>
      <c r="C25" s="22">
        <f>'Opex Schedule'!D52</f>
        <v>27.394000000000002</v>
      </c>
      <c r="D25" s="22">
        <f>'Opex Schedule'!E52</f>
        <v>30.329999999999995</v>
      </c>
      <c r="E25" s="22">
        <f>'Opex Schedule'!F52</f>
        <v>33.323000000000008</v>
      </c>
      <c r="F25" s="22">
        <f>'Opex Schedule'!G52</f>
        <v>36.699000000000012</v>
      </c>
      <c r="G25" s="22">
        <f>'Opex Schedule'!H52</f>
        <v>39.872</v>
      </c>
      <c r="H25" s="22">
        <f>'Opex Schedule'!I52</f>
        <v>43.037000000000006</v>
      </c>
      <c r="I25" s="22">
        <f>'Opex Schedule'!J52</f>
        <v>45.620000000000012</v>
      </c>
      <c r="J25" s="22">
        <f>'Opex Schedule'!K52</f>
        <v>48.491000000000007</v>
      </c>
      <c r="K25" s="22">
        <f>'Opex Schedule'!L52</f>
        <v>51.099000000000004</v>
      </c>
    </row>
    <row r="26" spans="1:11" x14ac:dyDescent="0.25">
      <c r="A26" s="10"/>
      <c r="B26" s="19"/>
      <c r="C26" s="19"/>
      <c r="D26" s="19"/>
      <c r="E26" s="19"/>
      <c r="F26" s="19"/>
      <c r="G26" s="6"/>
      <c r="H26" s="6"/>
      <c r="I26" s="6"/>
      <c r="J26" s="6"/>
      <c r="K26" s="6"/>
    </row>
    <row r="27" spans="1:11" x14ac:dyDescent="0.25">
      <c r="A27" s="10" t="s">
        <v>182</v>
      </c>
      <c r="B27" s="19">
        <f>'Project Glance'!B10/10</f>
        <v>1.4876500000000001</v>
      </c>
      <c r="C27" s="19">
        <f>B27</f>
        <v>1.4876500000000001</v>
      </c>
      <c r="D27" s="19">
        <f t="shared" ref="D27:K27" si="3">C27</f>
        <v>1.4876500000000001</v>
      </c>
      <c r="E27" s="19">
        <f t="shared" si="3"/>
        <v>1.4876500000000001</v>
      </c>
      <c r="F27" s="19">
        <f t="shared" si="3"/>
        <v>1.4876500000000001</v>
      </c>
      <c r="G27" s="19">
        <f t="shared" si="3"/>
        <v>1.4876500000000001</v>
      </c>
      <c r="H27" s="19">
        <f t="shared" si="3"/>
        <v>1.4876500000000001</v>
      </c>
      <c r="I27" s="19">
        <f t="shared" si="3"/>
        <v>1.4876500000000001</v>
      </c>
      <c r="J27" s="19">
        <f t="shared" si="3"/>
        <v>1.4876500000000001</v>
      </c>
      <c r="K27" s="19">
        <f t="shared" si="3"/>
        <v>1.4876500000000001</v>
      </c>
    </row>
    <row r="28" spans="1:11" x14ac:dyDescent="0.25">
      <c r="A28" s="10"/>
      <c r="B28" s="19"/>
      <c r="C28" s="19"/>
      <c r="D28" s="19"/>
      <c r="E28" s="19"/>
      <c r="F28" s="19"/>
      <c r="G28" s="6"/>
      <c r="H28" s="6"/>
      <c r="I28" s="6"/>
      <c r="J28" s="6"/>
      <c r="K28" s="6"/>
    </row>
    <row r="29" spans="1:11" x14ac:dyDescent="0.25">
      <c r="A29" s="10" t="s">
        <v>183</v>
      </c>
      <c r="B29" s="19">
        <f>B14-B21-B23-B25-B27</f>
        <v>32.967800000000011</v>
      </c>
      <c r="C29" s="19">
        <f t="shared" ref="C29:K29" si="4">C14-C21-C23-C25-C27</f>
        <v>46.454552500000005</v>
      </c>
      <c r="D29" s="19">
        <f t="shared" si="4"/>
        <v>57.250152625000013</v>
      </c>
      <c r="E29" s="19">
        <f t="shared" si="4"/>
        <v>69.162052756249921</v>
      </c>
      <c r="F29" s="19">
        <f t="shared" si="4"/>
        <v>82.11533289406249</v>
      </c>
      <c r="G29" s="19">
        <f t="shared" si="4"/>
        <v>96.49699203876564</v>
      </c>
      <c r="H29" s="19">
        <f t="shared" si="4"/>
        <v>110.76943914070398</v>
      </c>
      <c r="I29" s="19">
        <f t="shared" si="4"/>
        <v>127.10078359773908</v>
      </c>
      <c r="J29" s="19">
        <f t="shared" si="4"/>
        <v>144.83592527762622</v>
      </c>
      <c r="K29" s="19">
        <f t="shared" si="4"/>
        <v>164.38844404150731</v>
      </c>
    </row>
    <row r="30" spans="1:11" x14ac:dyDescent="0.25">
      <c r="A30" s="10" t="s">
        <v>184</v>
      </c>
      <c r="B30" s="9">
        <f>'TL Schedule'!C5</f>
        <v>0</v>
      </c>
      <c r="C30" s="9">
        <f>'TL Schedule'!D5</f>
        <v>0</v>
      </c>
      <c r="D30" s="9">
        <f>'TL Schedule'!E5</f>
        <v>0</v>
      </c>
      <c r="E30" s="9">
        <f>'TL Schedule'!F5</f>
        <v>0</v>
      </c>
      <c r="F30" s="9">
        <f>'TL Schedule'!G5</f>
        <v>0</v>
      </c>
      <c r="G30" s="9">
        <f>'TL Schedule'!H5</f>
        <v>0</v>
      </c>
      <c r="H30" s="9">
        <f>'TL Schedule'!I5</f>
        <v>0</v>
      </c>
      <c r="I30" s="9">
        <f>'TL Schedule'!J5</f>
        <v>0</v>
      </c>
      <c r="J30" s="9">
        <f>'TL Schedule'!K5</f>
        <v>0</v>
      </c>
      <c r="K30" s="9">
        <f>'TL Schedule'!L5</f>
        <v>0</v>
      </c>
    </row>
    <row r="31" spans="1:11" x14ac:dyDescent="0.25">
      <c r="A31" s="212" t="s">
        <v>185</v>
      </c>
      <c r="B31" s="9">
        <f>'WC Assessment'!C15*0.09</f>
        <v>0.83557940624999982</v>
      </c>
      <c r="C31" s="9">
        <f>'WC Assessment'!D15*0.09</f>
        <v>1.1034843890624997</v>
      </c>
      <c r="D31" s="9">
        <f>'WC Assessment'!E15*0.09</f>
        <v>1.2775359522656251</v>
      </c>
      <c r="E31" s="9">
        <f>'WC Assessment'!F15*0.09</f>
        <v>1.4773702655039058</v>
      </c>
      <c r="F31" s="9">
        <f>'WC Assessment'!G15*0.09</f>
        <v>1.6801418412791009</v>
      </c>
      <c r="G31" s="9">
        <f>'WC Assessment'!H15*0.09</f>
        <v>1.9235814864680567</v>
      </c>
      <c r="H31" s="9">
        <f>'WC Assessment'!I15*0.09</f>
        <v>2.1569714389164596</v>
      </c>
      <c r="I31" s="9">
        <f>'WC Assessment'!J15*0.09</f>
        <v>2.4114168764872823</v>
      </c>
      <c r="J31" s="9">
        <f>'WC Assessment'!K15*0.09</f>
        <v>2.7669784234366475</v>
      </c>
      <c r="K31" s="9">
        <f>'WC Assessment'!L15*0.09</f>
        <v>3.0766758414834787</v>
      </c>
    </row>
    <row r="32" spans="1:11" x14ac:dyDescent="0.25">
      <c r="A32" s="10" t="s">
        <v>186</v>
      </c>
      <c r="B32" s="19">
        <f>Depn!C20</f>
        <v>12.794573</v>
      </c>
      <c r="C32" s="19">
        <f>Depn!D20</f>
        <v>12.794573</v>
      </c>
      <c r="D32" s="19">
        <f>Depn!E20</f>
        <v>12.794573</v>
      </c>
      <c r="E32" s="19">
        <f>Depn!F20</f>
        <v>12.794573</v>
      </c>
      <c r="F32" s="19">
        <f>Depn!G20</f>
        <v>12.794573</v>
      </c>
      <c r="G32" s="19">
        <f>Depn!H20</f>
        <v>12.794573</v>
      </c>
      <c r="H32" s="19">
        <f>Depn!I20</f>
        <v>12.794573</v>
      </c>
      <c r="I32" s="19">
        <f>Depn!J20</f>
        <v>12.794573</v>
      </c>
      <c r="J32" s="19">
        <f>Depn!K20</f>
        <v>12.794573</v>
      </c>
      <c r="K32" s="19">
        <f>Depn!L20</f>
        <v>12.794573</v>
      </c>
    </row>
    <row r="33" spans="1:13" x14ac:dyDescent="0.25">
      <c r="A33" s="10"/>
      <c r="B33" s="19"/>
      <c r="C33" s="19"/>
      <c r="D33" s="19"/>
      <c r="E33" s="19"/>
      <c r="F33" s="19"/>
      <c r="G33" s="6"/>
      <c r="H33" s="6"/>
      <c r="I33" s="6"/>
      <c r="J33" s="6"/>
      <c r="K33" s="6"/>
    </row>
    <row r="34" spans="1:13" x14ac:dyDescent="0.25">
      <c r="A34" s="10" t="s">
        <v>187</v>
      </c>
      <c r="B34" s="19">
        <f>B29-B30-B31-B32</f>
        <v>19.337647593750013</v>
      </c>
      <c r="C34" s="19">
        <f t="shared" ref="C34:K34" si="5">C29-C30-C31-C32</f>
        <v>32.556495110937504</v>
      </c>
      <c r="D34" s="19">
        <f t="shared" si="5"/>
        <v>43.17804367273439</v>
      </c>
      <c r="E34" s="19">
        <f t="shared" si="5"/>
        <v>54.890109490746013</v>
      </c>
      <c r="F34" s="19">
        <f t="shared" si="5"/>
        <v>67.640618052783395</v>
      </c>
      <c r="G34" s="19">
        <f t="shared" si="5"/>
        <v>81.778837552297588</v>
      </c>
      <c r="H34" s="19">
        <f t="shared" si="5"/>
        <v>95.817894701787523</v>
      </c>
      <c r="I34" s="19">
        <f t="shared" si="5"/>
        <v>111.8947937212518</v>
      </c>
      <c r="J34" s="19">
        <f t="shared" si="5"/>
        <v>129.27437385418955</v>
      </c>
      <c r="K34" s="19">
        <f t="shared" si="5"/>
        <v>148.51719520002382</v>
      </c>
    </row>
    <row r="35" spans="1:13" x14ac:dyDescent="0.25">
      <c r="A35" s="10" t="s">
        <v>190</v>
      </c>
      <c r="B35" s="19">
        <f>Tax!B13</f>
        <v>0</v>
      </c>
      <c r="C35" s="19">
        <f>Tax!C13</f>
        <v>2.5996616114062552</v>
      </c>
      <c r="D35" s="19">
        <f>Tax!D13</f>
        <v>8.2415367518203162</v>
      </c>
      <c r="E35" s="19">
        <f>Tax!E13</f>
        <v>12.738550834723803</v>
      </c>
      <c r="F35" s="19">
        <f>Tax!F13</f>
        <v>17.422808455210017</v>
      </c>
      <c r="G35" s="19">
        <f>Tax!G13</f>
        <v>22.415411477658022</v>
      </c>
      <c r="H35" s="19">
        <f>Tax!H13</f>
        <v>27.284403309859695</v>
      </c>
      <c r="I35" s="19">
        <f>Tax!I13</f>
        <v>32.683083781535458</v>
      </c>
      <c r="J35" s="19">
        <f>Tax!J13</f>
        <v>38.401461525804301</v>
      </c>
      <c r="K35" s="19">
        <f>Tax!K13</f>
        <v>44.616847176367813</v>
      </c>
      <c r="M35" s="13"/>
    </row>
    <row r="36" spans="1:13" x14ac:dyDescent="0.25">
      <c r="A36" s="80" t="s">
        <v>188</v>
      </c>
      <c r="B36" s="22">
        <f>B34-B35</f>
        <v>19.337647593750013</v>
      </c>
      <c r="C36" s="22">
        <f t="shared" ref="C36:K36" si="6">C34-C35</f>
        <v>29.95683349953125</v>
      </c>
      <c r="D36" s="22">
        <f t="shared" si="6"/>
        <v>34.93650692091407</v>
      </c>
      <c r="E36" s="22">
        <f t="shared" si="6"/>
        <v>42.15155865602221</v>
      </c>
      <c r="F36" s="22">
        <f t="shared" si="6"/>
        <v>50.217809597573378</v>
      </c>
      <c r="G36" s="22">
        <f t="shared" si="6"/>
        <v>59.363426074639563</v>
      </c>
      <c r="H36" s="22">
        <f t="shared" si="6"/>
        <v>68.533491391927825</v>
      </c>
      <c r="I36" s="22">
        <f t="shared" si="6"/>
        <v>79.211709939716343</v>
      </c>
      <c r="J36" s="22">
        <f t="shared" si="6"/>
        <v>90.87291232838524</v>
      </c>
      <c r="K36" s="22">
        <f t="shared" si="6"/>
        <v>103.90034802365601</v>
      </c>
      <c r="M36" s="13"/>
    </row>
    <row r="37" spans="1:13" x14ac:dyDescent="0.25">
      <c r="J37" s="25"/>
      <c r="K37" s="25"/>
      <c r="M37" s="13"/>
    </row>
    <row r="38" spans="1:13" x14ac:dyDescent="0.25">
      <c r="A38" s="380"/>
      <c r="B38" s="230"/>
      <c r="C38"/>
      <c r="D38"/>
      <c r="E38"/>
      <c r="F38"/>
      <c r="J38" s="25"/>
      <c r="K38" s="25"/>
    </row>
    <row r="39" spans="1:13" x14ac:dyDescent="0.25">
      <c r="A39" s="380"/>
      <c r="B39" s="24"/>
      <c r="C39" s="24"/>
      <c r="D39" s="24"/>
      <c r="E39" s="24"/>
      <c r="F39" s="24"/>
    </row>
    <row r="40" spans="1:13" x14ac:dyDescent="0.25">
      <c r="A40" s="380"/>
      <c r="B40"/>
      <c r="C40"/>
      <c r="D40"/>
      <c r="E40"/>
      <c r="F40"/>
    </row>
    <row r="41" spans="1:13" x14ac:dyDescent="0.25">
      <c r="A41" s="10" t="s">
        <v>189</v>
      </c>
      <c r="B41" s="19">
        <f>B36</f>
        <v>19.337647593750013</v>
      </c>
      <c r="C41" s="19">
        <f>B41+C36</f>
        <v>49.294481093281263</v>
      </c>
      <c r="D41" s="19">
        <f t="shared" ref="D41:K41" si="7">C41+D36</f>
        <v>84.230988014195333</v>
      </c>
      <c r="E41" s="19">
        <f t="shared" si="7"/>
        <v>126.38254667021755</v>
      </c>
      <c r="F41" s="19">
        <f t="shared" si="7"/>
        <v>176.60035626779091</v>
      </c>
      <c r="G41" s="19">
        <f t="shared" si="7"/>
        <v>235.96378234243048</v>
      </c>
      <c r="H41" s="19">
        <f t="shared" si="7"/>
        <v>304.49727373435832</v>
      </c>
      <c r="I41" s="19">
        <f t="shared" si="7"/>
        <v>383.70898367407466</v>
      </c>
      <c r="J41" s="19">
        <f t="shared" si="7"/>
        <v>474.58189600245987</v>
      </c>
      <c r="K41" s="19">
        <f t="shared" si="7"/>
        <v>578.48224402611584</v>
      </c>
    </row>
    <row r="44" spans="1:13" ht="16.5" customHeight="1" x14ac:dyDescent="0.25"/>
  </sheetData>
  <mergeCells count="1">
    <mergeCell ref="A2:K2"/>
  </mergeCells>
  <pageMargins left="0.7" right="0.7" top="0.75" bottom="0.75" header="0.3" footer="0.3"/>
  <pageSetup scale="58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3"/>
  <sheetViews>
    <sheetView view="pageBreakPreview" topLeftCell="A13" zoomScale="90" zoomScaleNormal="100" zoomScaleSheetLayoutView="90" workbookViewId="0">
      <selection activeCell="A4" sqref="A4:K13"/>
    </sheetView>
  </sheetViews>
  <sheetFormatPr defaultRowHeight="15" x14ac:dyDescent="0.25"/>
  <cols>
    <col min="1" max="1" width="22.85546875" customWidth="1"/>
  </cols>
  <sheetData>
    <row r="3" spans="1:11" x14ac:dyDescent="0.25">
      <c r="A3" s="344" t="s">
        <v>290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</row>
    <row r="4" spans="1:11" x14ac:dyDescent="0.25">
      <c r="A4" s="17" t="s">
        <v>1</v>
      </c>
      <c r="B4" s="17" t="s">
        <v>36</v>
      </c>
      <c r="C4" s="17" t="s">
        <v>37</v>
      </c>
      <c r="D4" s="17" t="s">
        <v>38</v>
      </c>
      <c r="E4" s="17" t="s">
        <v>39</v>
      </c>
      <c r="F4" s="17" t="s">
        <v>40</v>
      </c>
      <c r="G4" s="17" t="s">
        <v>41</v>
      </c>
      <c r="H4" s="17" t="s">
        <v>42</v>
      </c>
      <c r="I4" s="17" t="s">
        <v>494</v>
      </c>
      <c r="J4" s="17" t="s">
        <v>495</v>
      </c>
      <c r="K4" s="17" t="s">
        <v>496</v>
      </c>
    </row>
    <row r="5" spans="1:11" x14ac:dyDescent="0.25">
      <c r="A5" s="6" t="s">
        <v>291</v>
      </c>
      <c r="B5" s="19">
        <f>'P&amp;L'!B34</f>
        <v>19.337647593750013</v>
      </c>
      <c r="C5" s="19">
        <f>'P&amp;L'!C34</f>
        <v>32.556495110937504</v>
      </c>
      <c r="D5" s="19">
        <f>'P&amp;L'!D34</f>
        <v>43.17804367273439</v>
      </c>
      <c r="E5" s="19">
        <f>'P&amp;L'!E34</f>
        <v>54.890109490746013</v>
      </c>
      <c r="F5" s="19">
        <f>'P&amp;L'!F34</f>
        <v>67.640618052783395</v>
      </c>
      <c r="G5" s="19">
        <f>'P&amp;L'!G34</f>
        <v>81.778837552297588</v>
      </c>
      <c r="H5" s="19">
        <f>'P&amp;L'!H34</f>
        <v>95.817894701787523</v>
      </c>
      <c r="I5" s="19">
        <f>'P&amp;L'!I34</f>
        <v>111.8947937212518</v>
      </c>
      <c r="J5" s="19">
        <f>'P&amp;L'!J34</f>
        <v>129.27437385418955</v>
      </c>
      <c r="K5" s="19">
        <f>'P&amp;L'!K34</f>
        <v>148.51719520002382</v>
      </c>
    </row>
    <row r="6" spans="1:11" ht="30" x14ac:dyDescent="0.25">
      <c r="A6" s="10" t="s">
        <v>292</v>
      </c>
      <c r="B6" s="19">
        <f>'P&amp;L'!B32</f>
        <v>12.794573</v>
      </c>
      <c r="C6" s="19">
        <f>'P&amp;L'!C32</f>
        <v>12.794573</v>
      </c>
      <c r="D6" s="19">
        <f>'P&amp;L'!D32</f>
        <v>12.794573</v>
      </c>
      <c r="E6" s="19">
        <f>'P&amp;L'!E32</f>
        <v>12.794573</v>
      </c>
      <c r="F6" s="19">
        <f>'P&amp;L'!F32</f>
        <v>12.794573</v>
      </c>
      <c r="G6" s="19">
        <f>'P&amp;L'!G32</f>
        <v>12.794573</v>
      </c>
      <c r="H6" s="19">
        <f>'P&amp;L'!H32</f>
        <v>12.794573</v>
      </c>
      <c r="I6" s="19">
        <f>'P&amp;L'!I32</f>
        <v>12.794573</v>
      </c>
      <c r="J6" s="19">
        <f>'P&amp;L'!J32</f>
        <v>12.794573</v>
      </c>
      <c r="K6" s="19">
        <f>'P&amp;L'!K32</f>
        <v>12.794573</v>
      </c>
    </row>
    <row r="7" spans="1:11" ht="30" x14ac:dyDescent="0.25">
      <c r="A7" s="10" t="s">
        <v>293</v>
      </c>
      <c r="B7" s="19">
        <f>Depn!P20</f>
        <v>35.073999999999998</v>
      </c>
      <c r="C7" s="19">
        <f>Depn!Q20</f>
        <v>30.768450000000001</v>
      </c>
      <c r="D7" s="19">
        <f>Depn!R20</f>
        <v>27.013177500000001</v>
      </c>
      <c r="E7" s="19">
        <f>Depn!S20</f>
        <v>23.735196375000001</v>
      </c>
      <c r="F7" s="19">
        <f>Depn!T20</f>
        <v>20.871512868750003</v>
      </c>
      <c r="G7" s="19">
        <f>Depn!U20</f>
        <v>18.367722293437502</v>
      </c>
      <c r="H7" s="19">
        <f>Depn!V20</f>
        <v>16.176806668921877</v>
      </c>
      <c r="I7" s="19">
        <f>Depn!W20</f>
        <v>14.258104116133595</v>
      </c>
      <c r="J7" s="19">
        <f>Depn!X20</f>
        <v>12.576425101508555</v>
      </c>
      <c r="K7" s="19">
        <f>Depn!Y20</f>
        <v>11.10129427879777</v>
      </c>
    </row>
    <row r="8" spans="1:11" x14ac:dyDescent="0.25">
      <c r="A8" s="10" t="s">
        <v>294</v>
      </c>
      <c r="B8" s="19">
        <f>'P&amp;L'!B27</f>
        <v>1.4876500000000001</v>
      </c>
      <c r="C8" s="19">
        <f>'P&amp;L'!C27</f>
        <v>1.4876500000000001</v>
      </c>
      <c r="D8" s="19">
        <f>'P&amp;L'!D27</f>
        <v>1.4876500000000001</v>
      </c>
      <c r="E8" s="19">
        <f>'P&amp;L'!E27</f>
        <v>1.4876500000000001</v>
      </c>
      <c r="F8" s="19">
        <f>'P&amp;L'!F27</f>
        <v>1.4876500000000001</v>
      </c>
      <c r="G8" s="19">
        <f>'P&amp;L'!G27</f>
        <v>1.4876500000000001</v>
      </c>
      <c r="H8" s="19">
        <f>'P&amp;L'!H27</f>
        <v>1.4876500000000001</v>
      </c>
      <c r="I8" s="19">
        <f>'P&amp;L'!I27</f>
        <v>1.4876500000000001</v>
      </c>
      <c r="J8" s="19">
        <f>'P&amp;L'!J27</f>
        <v>1.4876500000000001</v>
      </c>
      <c r="K8" s="19">
        <f>'P&amp;L'!K27</f>
        <v>1.4876500000000001</v>
      </c>
    </row>
    <row r="9" spans="1:11" x14ac:dyDescent="0.25">
      <c r="A9" s="10" t="s">
        <v>295</v>
      </c>
      <c r="B9" s="19">
        <f>B5+B6-B7-B8</f>
        <v>-4.4294294062499855</v>
      </c>
      <c r="C9" s="19">
        <f t="shared" ref="C9:K9" si="0">C5+C6-C7-C8</f>
        <v>13.094968110937502</v>
      </c>
      <c r="D9" s="19">
        <f t="shared" si="0"/>
        <v>27.47178917273439</v>
      </c>
      <c r="E9" s="19">
        <f t="shared" si="0"/>
        <v>42.46183611574601</v>
      </c>
      <c r="F9" s="19">
        <f t="shared" si="0"/>
        <v>58.07602818403339</v>
      </c>
      <c r="G9" s="19">
        <f t="shared" si="0"/>
        <v>74.718038258860076</v>
      </c>
      <c r="H9" s="19">
        <f t="shared" si="0"/>
        <v>90.948011032865651</v>
      </c>
      <c r="I9" s="19">
        <f t="shared" si="0"/>
        <v>108.9436126051182</v>
      </c>
      <c r="J9" s="19">
        <f t="shared" si="0"/>
        <v>128.004871752681</v>
      </c>
      <c r="K9" s="19">
        <f t="shared" si="0"/>
        <v>148.72282392122605</v>
      </c>
    </row>
    <row r="10" spans="1:11" x14ac:dyDescent="0.25">
      <c r="A10" s="10" t="s">
        <v>647</v>
      </c>
      <c r="B10" s="19">
        <v>0</v>
      </c>
      <c r="C10" s="19">
        <f>+B11</f>
        <v>-4.4294294062499855</v>
      </c>
      <c r="D10" s="19">
        <f t="shared" ref="D10:K10" si="1">+C11</f>
        <v>0</v>
      </c>
      <c r="E10" s="19">
        <f t="shared" si="1"/>
        <v>0</v>
      </c>
      <c r="F10" s="19">
        <f t="shared" si="1"/>
        <v>0</v>
      </c>
      <c r="G10" s="19">
        <f t="shared" si="1"/>
        <v>0</v>
      </c>
      <c r="H10" s="19">
        <f t="shared" si="1"/>
        <v>0</v>
      </c>
      <c r="I10" s="19">
        <f t="shared" si="1"/>
        <v>0</v>
      </c>
      <c r="J10" s="19">
        <f t="shared" si="1"/>
        <v>0</v>
      </c>
      <c r="K10" s="19">
        <f t="shared" si="1"/>
        <v>0</v>
      </c>
    </row>
    <row r="11" spans="1:11" x14ac:dyDescent="0.25">
      <c r="A11" s="10" t="s">
        <v>648</v>
      </c>
      <c r="B11" s="19">
        <f>+IF((B9+B10)&lt;0,B9+B10,0)</f>
        <v>-4.4294294062499855</v>
      </c>
      <c r="C11" s="19">
        <f>+IF((C9+C10)&lt;0,C9+C10,0)</f>
        <v>0</v>
      </c>
      <c r="D11" s="19">
        <f t="shared" ref="D11:K11" si="2">+IF((D9+D10)&lt;0,D9+D10,0)</f>
        <v>0</v>
      </c>
      <c r="E11" s="19">
        <f t="shared" si="2"/>
        <v>0</v>
      </c>
      <c r="F11" s="19">
        <f t="shared" si="2"/>
        <v>0</v>
      </c>
      <c r="G11" s="19">
        <f t="shared" si="2"/>
        <v>0</v>
      </c>
      <c r="H11" s="19">
        <f t="shared" si="2"/>
        <v>0</v>
      </c>
      <c r="I11" s="19">
        <f t="shared" si="2"/>
        <v>0</v>
      </c>
      <c r="J11" s="19">
        <f t="shared" si="2"/>
        <v>0</v>
      </c>
      <c r="K11" s="19">
        <f t="shared" si="2"/>
        <v>0</v>
      </c>
    </row>
    <row r="12" spans="1:11" x14ac:dyDescent="0.25">
      <c r="A12" s="10" t="s">
        <v>632</v>
      </c>
      <c r="B12" s="19">
        <f t="shared" ref="B12:K12" si="3">+B9+B10-B11</f>
        <v>0</v>
      </c>
      <c r="C12" s="19">
        <f t="shared" si="3"/>
        <v>8.665538704687517</v>
      </c>
      <c r="D12" s="19">
        <f t="shared" si="3"/>
        <v>27.47178917273439</v>
      </c>
      <c r="E12" s="19">
        <f t="shared" si="3"/>
        <v>42.46183611574601</v>
      </c>
      <c r="F12" s="19">
        <f t="shared" si="3"/>
        <v>58.07602818403339</v>
      </c>
      <c r="G12" s="19">
        <f t="shared" si="3"/>
        <v>74.718038258860076</v>
      </c>
      <c r="H12" s="19">
        <f t="shared" si="3"/>
        <v>90.948011032865651</v>
      </c>
      <c r="I12" s="19">
        <f t="shared" si="3"/>
        <v>108.9436126051182</v>
      </c>
      <c r="J12" s="19">
        <f t="shared" si="3"/>
        <v>128.004871752681</v>
      </c>
      <c r="K12" s="19">
        <f t="shared" si="3"/>
        <v>148.72282392122605</v>
      </c>
    </row>
    <row r="13" spans="1:11" x14ac:dyDescent="0.25">
      <c r="A13" s="80" t="s">
        <v>604</v>
      </c>
      <c r="B13" s="22">
        <f>B12*0.3</f>
        <v>0</v>
      </c>
      <c r="C13" s="22">
        <f>C12*0.3</f>
        <v>2.5996616114062552</v>
      </c>
      <c r="D13" s="22">
        <f t="shared" ref="D13:K13" si="4">D12*0.3</f>
        <v>8.2415367518203162</v>
      </c>
      <c r="E13" s="22">
        <f t="shared" si="4"/>
        <v>12.738550834723803</v>
      </c>
      <c r="F13" s="22">
        <f t="shared" si="4"/>
        <v>17.422808455210017</v>
      </c>
      <c r="G13" s="22">
        <f t="shared" si="4"/>
        <v>22.415411477658022</v>
      </c>
      <c r="H13" s="22">
        <f t="shared" si="4"/>
        <v>27.284403309859695</v>
      </c>
      <c r="I13" s="22">
        <f t="shared" si="4"/>
        <v>32.683083781535458</v>
      </c>
      <c r="J13" s="22">
        <f t="shared" si="4"/>
        <v>38.401461525804301</v>
      </c>
      <c r="K13" s="22">
        <f t="shared" si="4"/>
        <v>44.616847176367813</v>
      </c>
    </row>
  </sheetData>
  <mergeCells count="1">
    <mergeCell ref="A3:K3"/>
  </mergeCells>
  <pageMargins left="0.7" right="0.7" top="0.75" bottom="0.75" header="0.3" footer="0.3"/>
  <pageSetup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189"/>
  <sheetViews>
    <sheetView view="pageBreakPreview" zoomScale="60" zoomScaleNormal="100" workbookViewId="0">
      <selection activeCell="A4" sqref="A4:L50"/>
    </sheetView>
  </sheetViews>
  <sheetFormatPr defaultRowHeight="15" x14ac:dyDescent="0.25"/>
  <cols>
    <col min="1" max="1" width="29.7109375" style="81" bestFit="1" customWidth="1"/>
    <col min="2" max="3" width="11.28515625" style="81" bestFit="1" customWidth="1"/>
    <col min="4" max="7" width="11.85546875" style="81" bestFit="1" customWidth="1"/>
    <col min="8" max="8" width="11.28515625" style="81" bestFit="1" customWidth="1"/>
    <col min="9" max="10" width="11.85546875" style="81" bestFit="1" customWidth="1"/>
    <col min="11" max="11" width="11.28515625" style="81" bestFit="1" customWidth="1"/>
    <col min="12" max="12" width="11.85546875" style="81" bestFit="1" customWidth="1"/>
    <col min="13" max="16384" width="9.140625" style="81"/>
  </cols>
  <sheetData>
    <row r="1" spans="1:12" x14ac:dyDescent="0.25">
      <c r="A1" s="346"/>
      <c r="B1" s="346"/>
      <c r="C1" s="346"/>
      <c r="D1" s="346"/>
      <c r="E1" s="346"/>
      <c r="F1" s="346"/>
      <c r="G1" s="346"/>
    </row>
    <row r="2" spans="1:12" x14ac:dyDescent="0.25">
      <c r="A2" s="346" t="s">
        <v>296</v>
      </c>
      <c r="B2" s="346"/>
      <c r="C2" s="346"/>
      <c r="D2" s="346"/>
      <c r="E2" s="346"/>
      <c r="F2" s="346"/>
      <c r="G2" s="346"/>
      <c r="H2" s="346"/>
      <c r="I2" s="346"/>
    </row>
    <row r="4" spans="1:12" s="83" customFormat="1" x14ac:dyDescent="0.25">
      <c r="A4" s="219" t="s">
        <v>1</v>
      </c>
      <c r="B4" s="219" t="s">
        <v>445</v>
      </c>
      <c r="C4" s="219" t="s">
        <v>36</v>
      </c>
      <c r="D4" s="219" t="s">
        <v>37</v>
      </c>
      <c r="E4" s="219" t="s">
        <v>38</v>
      </c>
      <c r="F4" s="219" t="s">
        <v>39</v>
      </c>
      <c r="G4" s="219" t="s">
        <v>40</v>
      </c>
      <c r="H4" s="219" t="s">
        <v>41</v>
      </c>
      <c r="I4" s="219" t="s">
        <v>42</v>
      </c>
      <c r="J4" s="219" t="s">
        <v>494</v>
      </c>
      <c r="K4" s="219" t="s">
        <v>495</v>
      </c>
      <c r="L4" s="219" t="s">
        <v>496</v>
      </c>
    </row>
    <row r="5" spans="1:12" x14ac:dyDescent="0.25">
      <c r="A5" s="82" t="s">
        <v>297</v>
      </c>
      <c r="B5" s="82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x14ac:dyDescent="0.25">
      <c r="A6" s="84"/>
      <c r="B6" s="84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x14ac:dyDescent="0.25">
      <c r="A7" s="34" t="s">
        <v>298</v>
      </c>
      <c r="B7" s="177">
        <f>'Project Glance'!B19</f>
        <v>128.05733854166667</v>
      </c>
      <c r="C7" s="85">
        <f>'Project Glance'!B19</f>
        <v>128.05733854166667</v>
      </c>
      <c r="D7" s="85">
        <f>C7</f>
        <v>128.05733854166667</v>
      </c>
      <c r="E7" s="85">
        <f t="shared" ref="E7:I7" si="0">D7</f>
        <v>128.05733854166667</v>
      </c>
      <c r="F7" s="85">
        <f t="shared" si="0"/>
        <v>128.05733854166667</v>
      </c>
      <c r="G7" s="85">
        <f t="shared" si="0"/>
        <v>128.05733854166667</v>
      </c>
      <c r="H7" s="85">
        <f t="shared" si="0"/>
        <v>128.05733854166667</v>
      </c>
      <c r="I7" s="85">
        <f t="shared" si="0"/>
        <v>128.05733854166667</v>
      </c>
      <c r="J7" s="85">
        <f t="shared" ref="J7" si="1">I7</f>
        <v>128.05733854166667</v>
      </c>
      <c r="K7" s="85">
        <f t="shared" ref="K7" si="2">J7</f>
        <v>128.05733854166667</v>
      </c>
      <c r="L7" s="85">
        <f t="shared" ref="L7" si="3">K7</f>
        <v>128.05733854166667</v>
      </c>
    </row>
    <row r="8" spans="1:12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5">
      <c r="A9" s="34" t="s">
        <v>299</v>
      </c>
      <c r="B9" s="86">
        <f t="shared" ref="B9:I9" si="4">SUM(B7:B8)</f>
        <v>128.05733854166667</v>
      </c>
      <c r="C9" s="86">
        <f t="shared" si="4"/>
        <v>128.05733854166667</v>
      </c>
      <c r="D9" s="86">
        <f t="shared" si="4"/>
        <v>128.05733854166667</v>
      </c>
      <c r="E9" s="86">
        <f t="shared" si="4"/>
        <v>128.05733854166667</v>
      </c>
      <c r="F9" s="86">
        <f t="shared" si="4"/>
        <v>128.05733854166667</v>
      </c>
      <c r="G9" s="86">
        <f t="shared" si="4"/>
        <v>128.05733854166667</v>
      </c>
      <c r="H9" s="86">
        <f t="shared" si="4"/>
        <v>128.05733854166667</v>
      </c>
      <c r="I9" s="86">
        <f t="shared" si="4"/>
        <v>128.05733854166667</v>
      </c>
      <c r="J9" s="86">
        <f t="shared" ref="J9:L9" si="5">SUM(J7:J8)</f>
        <v>128.05733854166667</v>
      </c>
      <c r="K9" s="86">
        <f t="shared" si="5"/>
        <v>128.05733854166667</v>
      </c>
      <c r="L9" s="86">
        <f t="shared" si="5"/>
        <v>128.05733854166667</v>
      </c>
    </row>
    <row r="10" spans="1:12" x14ac:dyDescent="0.25">
      <c r="A10" s="34"/>
      <c r="B10" s="34"/>
      <c r="C10" s="85"/>
      <c r="D10" s="85"/>
      <c r="E10" s="85"/>
      <c r="F10" s="85"/>
      <c r="G10" s="85"/>
      <c r="H10" s="76"/>
      <c r="I10" s="76"/>
      <c r="J10" s="76"/>
      <c r="K10" s="76"/>
      <c r="L10" s="76"/>
    </row>
    <row r="11" spans="1:12" x14ac:dyDescent="0.25">
      <c r="A11" s="87" t="s">
        <v>300</v>
      </c>
      <c r="B11" s="87"/>
      <c r="C11" s="85"/>
      <c r="D11" s="85"/>
      <c r="E11" s="85"/>
      <c r="F11" s="85"/>
      <c r="G11" s="85"/>
      <c r="H11" s="76"/>
      <c r="I11" s="76"/>
      <c r="J11" s="76"/>
      <c r="K11" s="76"/>
      <c r="L11" s="76"/>
    </row>
    <row r="12" spans="1:12" x14ac:dyDescent="0.25">
      <c r="A12" s="87"/>
      <c r="B12" s="87"/>
      <c r="C12" s="85"/>
      <c r="D12" s="85"/>
      <c r="E12" s="85"/>
      <c r="F12" s="85"/>
      <c r="G12" s="85"/>
      <c r="H12" s="76"/>
      <c r="I12" s="76"/>
      <c r="J12" s="76"/>
      <c r="K12" s="76"/>
      <c r="L12" s="76"/>
    </row>
    <row r="13" spans="1:12" x14ac:dyDescent="0.25">
      <c r="A13" s="76" t="s">
        <v>326</v>
      </c>
      <c r="B13" s="177">
        <f>'Project Glance'!B20</f>
        <v>187.44390000000001</v>
      </c>
      <c r="C13" s="85">
        <f>B13</f>
        <v>187.44390000000001</v>
      </c>
      <c r="D13" s="85">
        <f t="shared" ref="D13:I13" si="6">C13</f>
        <v>187.44390000000001</v>
      </c>
      <c r="E13" s="85">
        <f t="shared" si="6"/>
        <v>187.44390000000001</v>
      </c>
      <c r="F13" s="85">
        <f t="shared" si="6"/>
        <v>187.44390000000001</v>
      </c>
      <c r="G13" s="85">
        <f t="shared" si="6"/>
        <v>187.44390000000001</v>
      </c>
      <c r="H13" s="85">
        <f t="shared" si="6"/>
        <v>187.44390000000001</v>
      </c>
      <c r="I13" s="85">
        <f t="shared" si="6"/>
        <v>187.44390000000001</v>
      </c>
      <c r="J13" s="85">
        <f t="shared" ref="J13" si="7">I13</f>
        <v>187.44390000000001</v>
      </c>
      <c r="K13" s="85">
        <f t="shared" ref="K13" si="8">J13</f>
        <v>187.44390000000001</v>
      </c>
      <c r="L13" s="85">
        <f t="shared" ref="L13" si="9">K13</f>
        <v>187.44390000000001</v>
      </c>
    </row>
    <row r="14" spans="1:12" x14ac:dyDescent="0.25">
      <c r="A14" s="87"/>
      <c r="B14" s="87"/>
      <c r="C14" s="85"/>
      <c r="D14" s="85"/>
      <c r="E14" s="85"/>
      <c r="F14" s="85"/>
      <c r="G14" s="85"/>
      <c r="H14" s="76"/>
      <c r="I14" s="76"/>
      <c r="J14" s="76"/>
      <c r="K14" s="76"/>
      <c r="L14" s="76"/>
    </row>
    <row r="15" spans="1:12" x14ac:dyDescent="0.25">
      <c r="A15" s="87" t="s">
        <v>301</v>
      </c>
      <c r="B15" s="87"/>
      <c r="C15" s="85"/>
      <c r="D15" s="85"/>
      <c r="E15" s="85"/>
      <c r="F15" s="85"/>
      <c r="G15" s="85"/>
      <c r="H15" s="76"/>
      <c r="I15" s="76"/>
      <c r="J15" s="76"/>
      <c r="K15" s="76"/>
      <c r="L15" s="76"/>
    </row>
    <row r="16" spans="1:12" x14ac:dyDescent="0.25">
      <c r="A16" s="76" t="s">
        <v>302</v>
      </c>
      <c r="B16" s="85">
        <v>0</v>
      </c>
      <c r="C16" s="85">
        <v>0</v>
      </c>
      <c r="D16" s="85">
        <f>C19</f>
        <v>19.337647593750013</v>
      </c>
      <c r="E16" s="85">
        <f>D19</f>
        <v>49.294481093281263</v>
      </c>
      <c r="F16" s="85">
        <f>E19</f>
        <v>84.230988014195333</v>
      </c>
      <c r="G16" s="85">
        <f>F19</f>
        <v>126.38254667021755</v>
      </c>
      <c r="H16" s="85">
        <f t="shared" ref="H16:I16" si="10">G19</f>
        <v>176.60035626779091</v>
      </c>
      <c r="I16" s="85">
        <f t="shared" si="10"/>
        <v>235.96378234243048</v>
      </c>
      <c r="J16" s="85">
        <f t="shared" ref="J16" si="11">I19</f>
        <v>304.49727373435832</v>
      </c>
      <c r="K16" s="85">
        <f t="shared" ref="K16" si="12">J19</f>
        <v>383.70898367407466</v>
      </c>
      <c r="L16" s="85">
        <f t="shared" ref="L16" si="13">K19</f>
        <v>474.58189600245987</v>
      </c>
    </row>
    <row r="17" spans="1:92" x14ac:dyDescent="0.25">
      <c r="A17" s="76"/>
      <c r="B17" s="85"/>
      <c r="C17" s="88"/>
      <c r="D17" s="85"/>
      <c r="E17" s="85"/>
      <c r="F17" s="85"/>
      <c r="G17" s="85"/>
      <c r="H17" s="76"/>
      <c r="I17" s="76"/>
      <c r="J17" s="76"/>
      <c r="K17" s="76"/>
      <c r="L17" s="76"/>
    </row>
    <row r="18" spans="1:92" x14ac:dyDescent="0.25">
      <c r="A18" s="76" t="s">
        <v>303</v>
      </c>
      <c r="B18" s="85">
        <v>0</v>
      </c>
      <c r="C18" s="85">
        <f>'P&amp;L'!B36</f>
        <v>19.337647593750013</v>
      </c>
      <c r="D18" s="85">
        <f>'P&amp;L'!C36</f>
        <v>29.95683349953125</v>
      </c>
      <c r="E18" s="85">
        <f>'P&amp;L'!D36</f>
        <v>34.93650692091407</v>
      </c>
      <c r="F18" s="85">
        <f>'P&amp;L'!E36</f>
        <v>42.15155865602221</v>
      </c>
      <c r="G18" s="85">
        <f>'P&amp;L'!F36</f>
        <v>50.217809597573378</v>
      </c>
      <c r="H18" s="85">
        <f>'P&amp;L'!G36</f>
        <v>59.363426074639563</v>
      </c>
      <c r="I18" s="85">
        <f>'P&amp;L'!H36</f>
        <v>68.533491391927825</v>
      </c>
      <c r="J18" s="85">
        <f>'P&amp;L'!I36</f>
        <v>79.211709939716343</v>
      </c>
      <c r="K18" s="85">
        <f>'P&amp;L'!J36</f>
        <v>90.87291232838524</v>
      </c>
      <c r="L18" s="85">
        <f>'P&amp;L'!K36</f>
        <v>103.90034802365601</v>
      </c>
    </row>
    <row r="19" spans="1:92" x14ac:dyDescent="0.25">
      <c r="A19" s="76" t="s">
        <v>304</v>
      </c>
      <c r="B19" s="85">
        <f t="shared" ref="B19:G19" si="14">B16+B18</f>
        <v>0</v>
      </c>
      <c r="C19" s="85">
        <f t="shared" si="14"/>
        <v>19.337647593750013</v>
      </c>
      <c r="D19" s="85">
        <f t="shared" si="14"/>
        <v>49.294481093281263</v>
      </c>
      <c r="E19" s="85">
        <f t="shared" si="14"/>
        <v>84.230988014195333</v>
      </c>
      <c r="F19" s="85">
        <f t="shared" si="14"/>
        <v>126.38254667021755</v>
      </c>
      <c r="G19" s="85">
        <f t="shared" si="14"/>
        <v>176.60035626779091</v>
      </c>
      <c r="H19" s="85">
        <f t="shared" ref="H19:I19" si="15">H16+H18</f>
        <v>235.96378234243048</v>
      </c>
      <c r="I19" s="85">
        <f t="shared" si="15"/>
        <v>304.49727373435832</v>
      </c>
      <c r="J19" s="85">
        <f t="shared" ref="J19:L19" si="16">J16+J18</f>
        <v>383.70898367407466</v>
      </c>
      <c r="K19" s="85">
        <f t="shared" si="16"/>
        <v>474.58189600245987</v>
      </c>
      <c r="L19" s="85">
        <f t="shared" si="16"/>
        <v>578.48224402611584</v>
      </c>
    </row>
    <row r="20" spans="1:92" x14ac:dyDescent="0.25">
      <c r="A20" s="76" t="s">
        <v>305</v>
      </c>
      <c r="B20" s="89">
        <f>'Project Glance'!B21</f>
        <v>0</v>
      </c>
      <c r="C20" s="85">
        <f>'TL Schedule'!C7</f>
        <v>0</v>
      </c>
      <c r="D20" s="85">
        <f>'TL Schedule'!D7</f>
        <v>0</v>
      </c>
      <c r="E20" s="85">
        <f>'TL Schedule'!E7</f>
        <v>0</v>
      </c>
      <c r="F20" s="85">
        <f>'TL Schedule'!F7</f>
        <v>0</v>
      </c>
      <c r="G20" s="85">
        <f>'TL Schedule'!G7</f>
        <v>0</v>
      </c>
      <c r="H20" s="85">
        <f>'TL Schedule'!H7</f>
        <v>0</v>
      </c>
      <c r="I20" s="85">
        <f>'TL Schedule'!I7</f>
        <v>0</v>
      </c>
      <c r="J20" s="85">
        <f>'TL Schedule'!J7</f>
        <v>0</v>
      </c>
      <c r="K20" s="85">
        <f>'TL Schedule'!K7</f>
        <v>0</v>
      </c>
      <c r="L20" s="85">
        <f>'TL Schedule'!L7</f>
        <v>0</v>
      </c>
    </row>
    <row r="21" spans="1:92" x14ac:dyDescent="0.25">
      <c r="A21" s="76" t="s">
        <v>306</v>
      </c>
      <c r="B21" s="85">
        <v>0</v>
      </c>
      <c r="C21" s="85">
        <f>'WC Assessment'!C15</f>
        <v>9.2842156249999981</v>
      </c>
      <c r="D21" s="85">
        <f>'WC Assessment'!D15</f>
        <v>12.260937656249997</v>
      </c>
      <c r="E21" s="85">
        <f>'WC Assessment'!E15</f>
        <v>14.194843914062503</v>
      </c>
      <c r="F21" s="85">
        <f>'WC Assessment'!F15</f>
        <v>16.415225172265622</v>
      </c>
      <c r="G21" s="85">
        <f>'WC Assessment'!G15</f>
        <v>18.668242680878901</v>
      </c>
      <c r="H21" s="85">
        <f>'WC Assessment'!H15</f>
        <v>21.373127627422853</v>
      </c>
      <c r="I21" s="85">
        <f>'WC Assessment'!I15</f>
        <v>23.966349321293997</v>
      </c>
      <c r="J21" s="85">
        <f>'WC Assessment'!J15</f>
        <v>26.793520849858691</v>
      </c>
      <c r="K21" s="85">
        <f>'WC Assessment'!K15</f>
        <v>30.74420470485164</v>
      </c>
      <c r="L21" s="85">
        <f>'WC Assessment'!L15</f>
        <v>34.185287127594208</v>
      </c>
    </row>
    <row r="22" spans="1:92" x14ac:dyDescent="0.25">
      <c r="A22" s="76" t="s">
        <v>307</v>
      </c>
      <c r="B22" s="85">
        <v>0</v>
      </c>
      <c r="C22" s="85">
        <f>('P&amp;L'!B16+'P&amp;L'!B23+'P&amp;L'!B25)/12</f>
        <v>14.483712500000001</v>
      </c>
      <c r="D22" s="85">
        <f>('P&amp;L'!C16+'P&amp;L'!C23+'P&amp;L'!C25)/12</f>
        <v>15.970933125</v>
      </c>
      <c r="E22" s="85">
        <f>('P&amp;L'!D16+'P&amp;L'!D23+'P&amp;L'!D25)/12</f>
        <v>17.96829978125</v>
      </c>
      <c r="F22" s="85">
        <f>('P&amp;L'!E16+'P&amp;L'!E23+'P&amp;L'!E25)/12</f>
        <v>20.110716436979168</v>
      </c>
      <c r="G22" s="85">
        <f>('P&amp;L'!F16+'P&amp;L'!F23+'P&amp;L'!F25)/12</f>
        <v>22.433151425494795</v>
      </c>
      <c r="H22" s="85">
        <f>('P&amp;L'!G16+'P&amp;L'!G23+'P&amp;L'!G25)/12</f>
        <v>24.900854830102869</v>
      </c>
      <c r="I22" s="85">
        <f>('P&amp;L'!H16+'P&amp;L'!H23+'P&amp;L'!H25)/12</f>
        <v>27.539159238274674</v>
      </c>
      <c r="J22" s="85">
        <f>('P&amp;L'!I16+'P&amp;L'!I23+'P&amp;L'!I25)/12</f>
        <v>30.309330533521745</v>
      </c>
      <c r="K22" s="85">
        <f>('P&amp;L'!J16+'P&amp;L'!J23+'P&amp;L'!J25)/12</f>
        <v>33.329060393531158</v>
      </c>
      <c r="L22" s="85">
        <f>('P&amp;L'!K16+'P&amp;L'!K23+'P&amp;L'!K25)/12</f>
        <v>36.477142163207724</v>
      </c>
    </row>
    <row r="23" spans="1:92" x14ac:dyDescent="0.25">
      <c r="A23" s="76"/>
      <c r="B23" s="76"/>
      <c r="C23" s="85"/>
      <c r="D23" s="85"/>
      <c r="E23" s="85"/>
      <c r="F23" s="85"/>
      <c r="G23" s="85"/>
      <c r="H23" s="76"/>
      <c r="I23" s="76"/>
      <c r="J23" s="76"/>
      <c r="K23" s="76"/>
      <c r="L23" s="76"/>
    </row>
    <row r="24" spans="1:92" x14ac:dyDescent="0.25">
      <c r="A24" s="82" t="s">
        <v>308</v>
      </c>
      <c r="B24" s="86">
        <f>SUM(B19:B22)+B9+B13</f>
        <v>315.50123854166668</v>
      </c>
      <c r="C24" s="86">
        <f>SUM(C19:C22)+C9+C13</f>
        <v>358.60681426041668</v>
      </c>
      <c r="D24" s="86">
        <f t="shared" ref="D24:L24" si="17">SUM(D19:D22)+D9+D13</f>
        <v>393.02759041619794</v>
      </c>
      <c r="E24" s="86">
        <f t="shared" si="17"/>
        <v>431.89537025117454</v>
      </c>
      <c r="F24" s="86">
        <f t="shared" si="17"/>
        <v>478.40972682112897</v>
      </c>
      <c r="G24" s="86">
        <f t="shared" si="17"/>
        <v>533.20298891583127</v>
      </c>
      <c r="H24" s="86">
        <f t="shared" si="17"/>
        <v>597.73900334162283</v>
      </c>
      <c r="I24" s="86">
        <f t="shared" si="17"/>
        <v>671.50402083559368</v>
      </c>
      <c r="J24" s="86">
        <f t="shared" si="17"/>
        <v>756.31307359912171</v>
      </c>
      <c r="K24" s="86">
        <f t="shared" si="17"/>
        <v>854.15639964250931</v>
      </c>
      <c r="L24" s="86">
        <f t="shared" si="17"/>
        <v>964.64591185858444</v>
      </c>
      <c r="M24" s="90"/>
      <c r="N24" s="90"/>
      <c r="O24" s="90"/>
      <c r="P24" s="90"/>
    </row>
    <row r="25" spans="1:92" x14ac:dyDescent="0.25">
      <c r="A25" s="76"/>
      <c r="B25" s="76"/>
      <c r="C25" s="85"/>
      <c r="D25" s="85"/>
      <c r="E25" s="85"/>
      <c r="F25" s="85"/>
      <c r="G25" s="85"/>
      <c r="H25" s="76"/>
      <c r="I25" s="76"/>
      <c r="J25" s="76"/>
      <c r="K25" s="76"/>
      <c r="L25" s="76"/>
    </row>
    <row r="26" spans="1:92" x14ac:dyDescent="0.25">
      <c r="A26" s="82" t="s">
        <v>309</v>
      </c>
      <c r="B26" s="82"/>
      <c r="C26" s="85"/>
      <c r="D26" s="85"/>
      <c r="E26" s="85"/>
      <c r="F26" s="85"/>
      <c r="G26" s="85"/>
      <c r="H26" s="89"/>
      <c r="I26" s="89"/>
      <c r="J26" s="89"/>
      <c r="K26" s="89"/>
      <c r="L26" s="89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91"/>
      <c r="CF26" s="91"/>
      <c r="CG26" s="91"/>
      <c r="CH26" s="91"/>
      <c r="CI26" s="91"/>
      <c r="CJ26" s="91"/>
      <c r="CK26" s="91"/>
      <c r="CL26" s="91"/>
      <c r="CM26" s="91"/>
      <c r="CN26" s="91"/>
    </row>
    <row r="27" spans="1:92" x14ac:dyDescent="0.25">
      <c r="A27" s="34" t="s">
        <v>310</v>
      </c>
      <c r="B27" s="34"/>
      <c r="C27" s="85"/>
      <c r="D27" s="85"/>
      <c r="E27" s="85"/>
      <c r="F27" s="85"/>
      <c r="G27" s="85"/>
      <c r="H27" s="76"/>
      <c r="I27" s="76"/>
      <c r="J27" s="76"/>
      <c r="K27" s="76"/>
      <c r="L27" s="76"/>
    </row>
    <row r="28" spans="1:92" x14ac:dyDescent="0.25">
      <c r="A28" s="84" t="s">
        <v>311</v>
      </c>
      <c r="B28" s="182">
        <f>'Project Glance'!B6+'Project Glance'!B7+'Project Glance'!B8+'Project Glance'!B9+'Project Glance'!B11</f>
        <v>297.52999999999997</v>
      </c>
      <c r="C28" s="85">
        <f>Depn!C19</f>
        <v>297.52999999999997</v>
      </c>
      <c r="D28" s="85">
        <f>Depn!D19</f>
        <v>284.73542700000002</v>
      </c>
      <c r="E28" s="85">
        <f>Depn!E19</f>
        <v>271.940854</v>
      </c>
      <c r="F28" s="85">
        <f>Depn!F19</f>
        <v>259.14628099999999</v>
      </c>
      <c r="G28" s="85">
        <f>Depn!G19</f>
        <v>246.351708</v>
      </c>
      <c r="H28" s="85">
        <f>Depn!H19</f>
        <v>233.55713500000002</v>
      </c>
      <c r="I28" s="85">
        <f>Depn!I19</f>
        <v>220.762562</v>
      </c>
      <c r="J28" s="85">
        <f>Depn!J19</f>
        <v>207.96798899999999</v>
      </c>
      <c r="K28" s="85">
        <f>Depn!K19</f>
        <v>195.173416</v>
      </c>
      <c r="L28" s="85">
        <f>Depn!L19</f>
        <v>182.37884300000002</v>
      </c>
    </row>
    <row r="29" spans="1:92" x14ac:dyDescent="0.25">
      <c r="A29" s="75" t="s">
        <v>449</v>
      </c>
      <c r="B29" s="183">
        <v>0</v>
      </c>
      <c r="C29" s="85">
        <f>Depn!C20</f>
        <v>12.794573</v>
      </c>
      <c r="D29" s="85">
        <f>Depn!D20</f>
        <v>12.794573</v>
      </c>
      <c r="E29" s="85">
        <f>Depn!E20</f>
        <v>12.794573</v>
      </c>
      <c r="F29" s="85">
        <f>Depn!F20</f>
        <v>12.794573</v>
      </c>
      <c r="G29" s="85">
        <f>Depn!G20</f>
        <v>12.794573</v>
      </c>
      <c r="H29" s="85">
        <f>Depn!H20</f>
        <v>12.794573</v>
      </c>
      <c r="I29" s="85">
        <f>Depn!I20</f>
        <v>12.794573</v>
      </c>
      <c r="J29" s="85">
        <f>Depn!J20</f>
        <v>12.794573</v>
      </c>
      <c r="K29" s="85">
        <f>Depn!K20</f>
        <v>12.794573</v>
      </c>
      <c r="L29" s="85">
        <f>Depn!L20</f>
        <v>12.794573</v>
      </c>
    </row>
    <row r="30" spans="1:92" x14ac:dyDescent="0.25">
      <c r="A30" s="84" t="s">
        <v>312</v>
      </c>
      <c r="B30" s="183">
        <f>B28-B29</f>
        <v>297.52999999999997</v>
      </c>
      <c r="C30" s="85">
        <f>Depn!C21</f>
        <v>284.73542700000002</v>
      </c>
      <c r="D30" s="85">
        <f>Depn!D21</f>
        <v>271.940854</v>
      </c>
      <c r="E30" s="85">
        <f>Depn!E21</f>
        <v>259.14628099999999</v>
      </c>
      <c r="F30" s="85">
        <f>Depn!F21</f>
        <v>246.351708</v>
      </c>
      <c r="G30" s="85">
        <f>Depn!G21</f>
        <v>233.55713500000002</v>
      </c>
      <c r="H30" s="85">
        <f>Depn!H21</f>
        <v>220.762562</v>
      </c>
      <c r="I30" s="85">
        <f>Depn!I21</f>
        <v>207.96798899999999</v>
      </c>
      <c r="J30" s="85">
        <f>Depn!J21</f>
        <v>195.173416</v>
      </c>
      <c r="K30" s="85">
        <f>Depn!K21</f>
        <v>182.37884300000002</v>
      </c>
      <c r="L30" s="85">
        <f>Depn!L21</f>
        <v>169.58427</v>
      </c>
    </row>
    <row r="31" spans="1:92" x14ac:dyDescent="0.25">
      <c r="A31" s="84"/>
      <c r="B31" s="84"/>
      <c r="C31" s="85"/>
      <c r="D31" s="85"/>
      <c r="E31" s="85"/>
      <c r="F31" s="85"/>
      <c r="G31" s="85"/>
      <c r="H31" s="76"/>
      <c r="I31" s="92"/>
      <c r="J31" s="92"/>
      <c r="K31" s="92"/>
      <c r="L31" s="92"/>
      <c r="M31" s="90"/>
      <c r="N31" s="90"/>
      <c r="O31" s="90"/>
      <c r="P31" s="90"/>
      <c r="Q31" s="90"/>
      <c r="R31" s="90"/>
    </row>
    <row r="32" spans="1:92" x14ac:dyDescent="0.25">
      <c r="A32" s="84" t="s">
        <v>313</v>
      </c>
      <c r="B32" s="182">
        <f>'Project Glance'!B10</f>
        <v>14.876500000000002</v>
      </c>
      <c r="C32" s="85">
        <f>B32-'P&amp;L'!B27</f>
        <v>13.388850000000001</v>
      </c>
      <c r="D32" s="85">
        <f>C32-'P&amp;L'!C27</f>
        <v>11.901200000000001</v>
      </c>
      <c r="E32" s="85">
        <f>D32-'P&amp;L'!D27</f>
        <v>10.413550000000001</v>
      </c>
      <c r="F32" s="85">
        <f>E32-'P&amp;L'!E27</f>
        <v>8.9259000000000004</v>
      </c>
      <c r="G32" s="85">
        <f>F32-'P&amp;L'!F27</f>
        <v>7.43825</v>
      </c>
      <c r="H32" s="85">
        <f>G32-'P&amp;L'!G27</f>
        <v>5.9505999999999997</v>
      </c>
      <c r="I32" s="85">
        <f>H32-'P&amp;L'!H27</f>
        <v>4.4629499999999993</v>
      </c>
      <c r="J32" s="85">
        <f>I32-'P&amp;L'!I27</f>
        <v>2.9752999999999989</v>
      </c>
      <c r="K32" s="85">
        <f>J32-'P&amp;L'!J27</f>
        <v>1.4876499999999988</v>
      </c>
      <c r="L32" s="85">
        <f>K32-'P&amp;L'!K27</f>
        <v>0</v>
      </c>
    </row>
    <row r="33" spans="1:12" x14ac:dyDescent="0.25">
      <c r="A33" s="84" t="s">
        <v>21</v>
      </c>
      <c r="B33" s="182">
        <f>'Project Glance'!B12</f>
        <v>0</v>
      </c>
      <c r="C33" s="85">
        <f>'Project Glance'!B12</f>
        <v>0</v>
      </c>
      <c r="D33" s="85">
        <f>C33</f>
        <v>0</v>
      </c>
      <c r="E33" s="85">
        <f t="shared" ref="E33:I33" si="18">D33</f>
        <v>0</v>
      </c>
      <c r="F33" s="85">
        <f t="shared" si="18"/>
        <v>0</v>
      </c>
      <c r="G33" s="85">
        <f t="shared" si="18"/>
        <v>0</v>
      </c>
      <c r="H33" s="85">
        <f t="shared" si="18"/>
        <v>0</v>
      </c>
      <c r="I33" s="85">
        <f t="shared" si="18"/>
        <v>0</v>
      </c>
      <c r="J33" s="85">
        <f t="shared" ref="J33" si="19">I33</f>
        <v>0</v>
      </c>
      <c r="K33" s="85">
        <f t="shared" ref="K33" si="20">J33</f>
        <v>0</v>
      </c>
      <c r="L33" s="85">
        <f t="shared" ref="L33" si="21">K33</f>
        <v>0</v>
      </c>
    </row>
    <row r="34" spans="1:12" x14ac:dyDescent="0.25">
      <c r="A34" s="84"/>
      <c r="B34" s="84"/>
      <c r="C34" s="85"/>
      <c r="D34" s="85"/>
      <c r="E34" s="85"/>
      <c r="F34" s="85"/>
      <c r="G34" s="85"/>
      <c r="H34" s="76"/>
      <c r="I34" s="76"/>
      <c r="J34" s="76"/>
      <c r="K34" s="76"/>
      <c r="L34" s="76"/>
    </row>
    <row r="35" spans="1:12" x14ac:dyDescent="0.25">
      <c r="A35" s="34" t="s">
        <v>314</v>
      </c>
      <c r="B35" s="34"/>
      <c r="C35" s="85"/>
      <c r="D35" s="85"/>
      <c r="E35" s="85"/>
      <c r="F35" s="85"/>
      <c r="G35" s="85"/>
      <c r="H35" s="76"/>
      <c r="I35" s="76"/>
      <c r="J35" s="76"/>
      <c r="K35" s="76"/>
      <c r="L35" s="76"/>
    </row>
    <row r="36" spans="1:12" x14ac:dyDescent="0.25">
      <c r="A36" s="76" t="s">
        <v>315</v>
      </c>
      <c r="B36" s="85">
        <v>0</v>
      </c>
      <c r="C36" s="85">
        <f>'P&amp;L'!B9/12</f>
        <v>16.490666666666666</v>
      </c>
      <c r="D36" s="85">
        <f>'P&amp;L'!C9/12</f>
        <v>19.786049999999999</v>
      </c>
      <c r="E36" s="85">
        <f>'P&amp;L'!D9/12</f>
        <v>22.726858333333336</v>
      </c>
      <c r="F36" s="85">
        <f>'P&amp;L'!E9/12</f>
        <v>25.831683333333331</v>
      </c>
      <c r="G36" s="85">
        <f>'P&amp;L'!F9/12</f>
        <v>29.240241666666666</v>
      </c>
      <c r="H36" s="85">
        <f>'P&amp;L'!G9/12</f>
        <v>32.861858333333338</v>
      </c>
      <c r="I36" s="85">
        <f>'P&amp;L'!H9/12</f>
        <v>36.706291666666672</v>
      </c>
      <c r="J36" s="85">
        <f>'P&amp;L'!I9/12</f>
        <v>40.823125000000005</v>
      </c>
      <c r="K36" s="85">
        <f>'P&amp;L'!J9/12</f>
        <v>45.196533333333342</v>
      </c>
      <c r="L36" s="85">
        <f>'P&amp;L'!K9/12</f>
        <v>50.060825000000001</v>
      </c>
    </row>
    <row r="37" spans="1:12" x14ac:dyDescent="0.25">
      <c r="A37" s="76"/>
      <c r="B37" s="85"/>
      <c r="C37" s="89"/>
      <c r="D37" s="89"/>
      <c r="E37" s="89"/>
      <c r="F37" s="89"/>
      <c r="G37" s="89"/>
      <c r="H37" s="76"/>
      <c r="I37" s="76"/>
      <c r="J37" s="76"/>
      <c r="K37" s="76"/>
      <c r="L37" s="76"/>
    </row>
    <row r="38" spans="1:12" x14ac:dyDescent="0.25">
      <c r="A38" s="76"/>
      <c r="B38" s="85"/>
      <c r="C38" s="85"/>
      <c r="D38" s="85"/>
      <c r="E38" s="85"/>
      <c r="F38" s="85"/>
      <c r="G38" s="85"/>
      <c r="H38" s="85"/>
      <c r="I38" s="85"/>
      <c r="J38" s="76"/>
      <c r="K38" s="76"/>
      <c r="L38" s="76"/>
    </row>
    <row r="39" spans="1:12" x14ac:dyDescent="0.25">
      <c r="A39" s="77" t="s">
        <v>83</v>
      </c>
      <c r="B39" s="181"/>
      <c r="C39" s="85"/>
      <c r="D39" s="85"/>
      <c r="E39" s="85"/>
      <c r="F39" s="85"/>
      <c r="G39" s="85"/>
      <c r="H39" s="76"/>
      <c r="I39" s="76"/>
      <c r="J39" s="76"/>
      <c r="K39" s="76"/>
      <c r="L39" s="76"/>
    </row>
    <row r="40" spans="1:12" x14ac:dyDescent="0.25">
      <c r="A40" s="76" t="s">
        <v>316</v>
      </c>
      <c r="B40" s="85">
        <v>0</v>
      </c>
      <c r="C40" s="85">
        <f>'CS-FG'!C52</f>
        <v>5.5</v>
      </c>
      <c r="D40" s="85">
        <f>'CS-FG'!D52</f>
        <v>6.9300000000000006</v>
      </c>
      <c r="E40" s="85">
        <f>'CS-FG'!E52</f>
        <v>7.7728999999999999</v>
      </c>
      <c r="F40" s="85">
        <f>'CS-FG'!F52</f>
        <v>8.9138000000000002</v>
      </c>
      <c r="G40" s="85">
        <f>'CS-FG'!G52</f>
        <v>9.905899999999999</v>
      </c>
      <c r="H40" s="85">
        <f>'CS-FG'!H52</f>
        <v>11.357400000000002</v>
      </c>
      <c r="I40" s="85">
        <f>'CS-FG'!I52</f>
        <v>12.5283</v>
      </c>
      <c r="J40" s="85">
        <f>'CS-FG'!J52</f>
        <v>13.786899999999999</v>
      </c>
      <c r="K40" s="85">
        <f>'CS-FG'!K52</f>
        <v>16.1022</v>
      </c>
      <c r="L40" s="85">
        <f>'CS-FG'!L52</f>
        <v>17.604699999999998</v>
      </c>
    </row>
    <row r="41" spans="1:12" x14ac:dyDescent="0.25">
      <c r="A41" s="76" t="s">
        <v>317</v>
      </c>
      <c r="B41" s="85">
        <v>0</v>
      </c>
      <c r="C41" s="85">
        <f>'CS-RM'!B16</f>
        <v>4.8719999999999999</v>
      </c>
      <c r="D41" s="85">
        <f>'CS-RM'!C16</f>
        <v>5.6028000000000002</v>
      </c>
      <c r="E41" s="85">
        <f>'CS-RM'!D16</f>
        <v>6.3949999999999996</v>
      </c>
      <c r="F41" s="85">
        <f>'CS-RM'!E16</f>
        <v>7.2522000000000002</v>
      </c>
      <c r="G41" s="85">
        <f>'CS-RM'!F16</f>
        <v>8.1780000000000008</v>
      </c>
      <c r="H41" s="85">
        <f>'CS-RM'!G16</f>
        <v>9.1791</v>
      </c>
      <c r="I41" s="85">
        <f>'CS-RM'!H16</f>
        <v>10.2597</v>
      </c>
      <c r="J41" s="85">
        <f>'CS-RM'!I16</f>
        <v>11.423999999999999</v>
      </c>
      <c r="K41" s="85">
        <f>'CS-RM'!J16</f>
        <v>13.022600000000001</v>
      </c>
      <c r="L41" s="85">
        <f>'CS-RM'!K16</f>
        <v>14.391999999999999</v>
      </c>
    </row>
    <row r="42" spans="1:12" x14ac:dyDescent="0.25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</row>
    <row r="43" spans="1:12" x14ac:dyDescent="0.25">
      <c r="A43" s="76"/>
      <c r="B43" s="76"/>
      <c r="C43" s="85">
        <f>SUM(C40:C41)</f>
        <v>10.372</v>
      </c>
      <c r="D43" s="85">
        <f>SUM(D40:D41)</f>
        <v>12.532800000000002</v>
      </c>
      <c r="E43" s="85">
        <f>SUM(E40:E41)</f>
        <v>14.167899999999999</v>
      </c>
      <c r="F43" s="85">
        <f>SUM(F40:F41)</f>
        <v>16.166</v>
      </c>
      <c r="G43" s="85">
        <f>SUM(G40:G41)</f>
        <v>18.0839</v>
      </c>
      <c r="H43" s="85">
        <f t="shared" ref="H43:L43" si="22">SUM(H40:H41)</f>
        <v>20.536500000000004</v>
      </c>
      <c r="I43" s="85">
        <f t="shared" si="22"/>
        <v>22.788</v>
      </c>
      <c r="J43" s="85">
        <f t="shared" si="22"/>
        <v>25.210899999999999</v>
      </c>
      <c r="K43" s="85">
        <f t="shared" si="22"/>
        <v>29.1248</v>
      </c>
      <c r="L43" s="85">
        <f t="shared" si="22"/>
        <v>31.996699999999997</v>
      </c>
    </row>
    <row r="44" spans="1:12" hidden="1" x14ac:dyDescent="0.25">
      <c r="A44" s="76"/>
      <c r="B44" s="76"/>
      <c r="C44" s="85"/>
      <c r="D44" s="85"/>
      <c r="E44" s="85"/>
      <c r="F44" s="85"/>
      <c r="G44" s="85"/>
      <c r="H44" s="85"/>
      <c r="I44" s="85"/>
      <c r="J44" s="76"/>
      <c r="K44" s="76"/>
      <c r="L44" s="76"/>
    </row>
    <row r="45" spans="1:12" hidden="1" x14ac:dyDescent="0.25">
      <c r="A45" s="76" t="s">
        <v>456</v>
      </c>
      <c r="B45" s="76"/>
      <c r="C45" s="85">
        <v>0</v>
      </c>
      <c r="D45" s="85">
        <v>0</v>
      </c>
      <c r="E45" s="85">
        <v>0</v>
      </c>
      <c r="F45" s="85">
        <v>0</v>
      </c>
      <c r="G45" s="85">
        <v>0</v>
      </c>
      <c r="H45" s="85">
        <v>0</v>
      </c>
      <c r="I45" s="85">
        <v>0</v>
      </c>
      <c r="J45" s="76"/>
      <c r="K45" s="76"/>
      <c r="L45" s="76"/>
    </row>
    <row r="46" spans="1:12" x14ac:dyDescent="0.25">
      <c r="A46" s="76"/>
      <c r="B46" s="76"/>
      <c r="C46" s="85"/>
      <c r="D46" s="85"/>
      <c r="E46" s="85"/>
      <c r="F46" s="85"/>
      <c r="G46" s="85"/>
      <c r="H46" s="85"/>
      <c r="I46" s="85"/>
      <c r="J46" s="76"/>
      <c r="K46" s="76"/>
      <c r="L46" s="76"/>
    </row>
    <row r="47" spans="1:12" x14ac:dyDescent="0.25">
      <c r="A47" s="76" t="s">
        <v>318</v>
      </c>
      <c r="B47" s="85">
        <f>CF!C35</f>
        <v>3.0947385416666862</v>
      </c>
      <c r="C47" s="85">
        <f>CF!D35</f>
        <v>33.619870593750022</v>
      </c>
      <c r="D47" s="85">
        <f>CF!E35</f>
        <v>76.866686416197979</v>
      </c>
      <c r="E47" s="85">
        <f>CF!F35</f>
        <v>125.44078091784121</v>
      </c>
      <c r="F47" s="85">
        <f>CF!G35</f>
        <v>181.13443548779577</v>
      </c>
      <c r="G47" s="85">
        <f>CF!H35</f>
        <v>244.88346224916461</v>
      </c>
      <c r="H47" s="85">
        <f>CF!I35</f>
        <v>317.62748300828952</v>
      </c>
      <c r="I47" s="85">
        <f>CF!J35</f>
        <v>399.57879016892696</v>
      </c>
      <c r="J47" s="85">
        <f>CF!K35</f>
        <v>492.13033259912174</v>
      </c>
      <c r="K47" s="85">
        <f>CF!L35</f>
        <v>595.96857330917601</v>
      </c>
      <c r="L47" s="85">
        <f>CF!M35</f>
        <v>713.00411685858444</v>
      </c>
    </row>
    <row r="48" spans="1:12" x14ac:dyDescent="0.25">
      <c r="A48" s="76" t="s">
        <v>319</v>
      </c>
      <c r="B48" s="76"/>
      <c r="C48" s="85"/>
      <c r="D48" s="85"/>
      <c r="E48" s="85"/>
      <c r="F48" s="85"/>
      <c r="G48" s="85"/>
      <c r="H48" s="76"/>
      <c r="I48" s="76"/>
      <c r="J48" s="76"/>
      <c r="K48" s="76"/>
      <c r="L48" s="76"/>
    </row>
    <row r="49" spans="1:12" x14ac:dyDescent="0.25">
      <c r="A49" s="76"/>
      <c r="B49" s="76"/>
      <c r="C49" s="85"/>
      <c r="D49" s="85"/>
      <c r="E49" s="85"/>
      <c r="F49" s="85"/>
      <c r="G49" s="85"/>
      <c r="H49" s="76"/>
      <c r="I49" s="76"/>
      <c r="J49" s="76"/>
      <c r="K49" s="76"/>
      <c r="L49" s="76"/>
    </row>
    <row r="50" spans="1:12" x14ac:dyDescent="0.25">
      <c r="A50" s="34" t="s">
        <v>320</v>
      </c>
      <c r="B50" s="86">
        <f>SUM(B30:B47)</f>
        <v>315.50123854166668</v>
      </c>
      <c r="C50" s="86">
        <f>SUM(C30:C41)+C47</f>
        <v>358.60681426041668</v>
      </c>
      <c r="D50" s="86">
        <f t="shared" ref="D50:L50" si="23">SUM(D30:D41)+D47</f>
        <v>393.027590416198</v>
      </c>
      <c r="E50" s="86">
        <f t="shared" si="23"/>
        <v>431.89537025117448</v>
      </c>
      <c r="F50" s="86">
        <f t="shared" si="23"/>
        <v>478.40972682112908</v>
      </c>
      <c r="G50" s="86">
        <f t="shared" si="23"/>
        <v>533.20298891583127</v>
      </c>
      <c r="H50" s="86">
        <f t="shared" si="23"/>
        <v>597.73900334162283</v>
      </c>
      <c r="I50" s="86">
        <f t="shared" si="23"/>
        <v>671.50402083559356</v>
      </c>
      <c r="J50" s="86">
        <f t="shared" si="23"/>
        <v>756.31307359912171</v>
      </c>
      <c r="K50" s="86">
        <f t="shared" si="23"/>
        <v>854.15639964250931</v>
      </c>
      <c r="L50" s="86">
        <f t="shared" si="23"/>
        <v>964.64591185858444</v>
      </c>
    </row>
    <row r="51" spans="1:12" x14ac:dyDescent="0.25">
      <c r="A51" s="83"/>
      <c r="B51" s="83"/>
      <c r="C51" s="93"/>
      <c r="D51" s="93"/>
      <c r="E51" s="93"/>
      <c r="F51" s="93"/>
      <c r="G51" s="93"/>
    </row>
    <row r="52" spans="1:12" x14ac:dyDescent="0.25">
      <c r="A52" s="94"/>
      <c r="B52" s="95">
        <f t="shared" ref="B52:G52" si="24">B50-B24</f>
        <v>0</v>
      </c>
      <c r="C52" s="95">
        <f t="shared" si="24"/>
        <v>0</v>
      </c>
      <c r="D52" s="95">
        <f t="shared" si="24"/>
        <v>0</v>
      </c>
      <c r="E52" s="95">
        <f t="shared" si="24"/>
        <v>0</v>
      </c>
      <c r="F52" s="95">
        <f t="shared" si="24"/>
        <v>0</v>
      </c>
      <c r="G52" s="95">
        <f t="shared" si="24"/>
        <v>0</v>
      </c>
      <c r="H52" s="95">
        <f t="shared" ref="H52:L52" si="25">H50-H24</f>
        <v>0</v>
      </c>
      <c r="I52" s="95">
        <f t="shared" si="25"/>
        <v>0</v>
      </c>
      <c r="J52" s="95">
        <f t="shared" si="25"/>
        <v>0</v>
      </c>
      <c r="K52" s="95">
        <f t="shared" si="25"/>
        <v>0</v>
      </c>
      <c r="L52" s="95">
        <f t="shared" si="25"/>
        <v>0</v>
      </c>
    </row>
    <row r="53" spans="1:12" x14ac:dyDescent="0.25">
      <c r="C53" s="96"/>
      <c r="D53" s="96"/>
      <c r="E53" s="96"/>
      <c r="F53" s="96"/>
      <c r="G53" s="96"/>
    </row>
    <row r="54" spans="1:12" x14ac:dyDescent="0.25">
      <c r="C54" s="96"/>
      <c r="D54" s="96"/>
      <c r="E54" s="96"/>
      <c r="F54" s="96"/>
      <c r="G54" s="96"/>
    </row>
    <row r="56" spans="1:12" x14ac:dyDescent="0.25">
      <c r="C56" s="96"/>
      <c r="D56" s="96"/>
      <c r="E56" s="96"/>
      <c r="F56" s="96"/>
      <c r="G56" s="96"/>
    </row>
    <row r="57" spans="1:12" x14ac:dyDescent="0.25">
      <c r="C57" s="96"/>
      <c r="D57" s="96"/>
      <c r="E57" s="96"/>
      <c r="F57" s="96"/>
      <c r="G57" s="96"/>
    </row>
    <row r="58" spans="1:12" x14ac:dyDescent="0.25">
      <c r="C58" s="96"/>
      <c r="D58" s="96"/>
      <c r="E58" s="96"/>
      <c r="F58" s="96"/>
      <c r="G58" s="96"/>
    </row>
    <row r="59" spans="1:12" x14ac:dyDescent="0.25">
      <c r="C59" s="96"/>
      <c r="D59" s="96"/>
      <c r="E59" s="96"/>
      <c r="F59" s="96"/>
      <c r="G59" s="96"/>
    </row>
    <row r="60" spans="1:12" x14ac:dyDescent="0.25">
      <c r="A60" s="96"/>
      <c r="B60" s="96"/>
      <c r="D60" s="96"/>
      <c r="F60" s="96"/>
      <c r="G60" s="96"/>
    </row>
    <row r="61" spans="1:12" x14ac:dyDescent="0.25">
      <c r="A61" s="96"/>
      <c r="B61" s="96"/>
      <c r="D61" s="96"/>
      <c r="F61" s="96"/>
      <c r="G61" s="96"/>
    </row>
    <row r="62" spans="1:12" x14ac:dyDescent="0.25">
      <c r="A62" s="96"/>
      <c r="B62" s="96"/>
      <c r="D62" s="96"/>
      <c r="F62" s="96"/>
      <c r="G62" s="96"/>
    </row>
    <row r="63" spans="1:12" x14ac:dyDescent="0.25">
      <c r="A63" s="96"/>
      <c r="B63" s="96"/>
      <c r="D63" s="96"/>
      <c r="F63" s="96"/>
      <c r="G63" s="96"/>
    </row>
    <row r="64" spans="1:12" x14ac:dyDescent="0.25">
      <c r="D64" s="96"/>
      <c r="F64" s="96"/>
    </row>
    <row r="65" spans="3:7" x14ac:dyDescent="0.25">
      <c r="D65" s="96"/>
      <c r="F65" s="96"/>
    </row>
    <row r="66" spans="3:7" x14ac:dyDescent="0.25">
      <c r="D66" s="96"/>
      <c r="F66" s="96"/>
      <c r="G66" s="96"/>
    </row>
    <row r="67" spans="3:7" x14ac:dyDescent="0.25">
      <c r="D67" s="96"/>
      <c r="F67" s="96"/>
      <c r="G67" s="96"/>
    </row>
    <row r="68" spans="3:7" x14ac:dyDescent="0.25">
      <c r="D68" s="96"/>
      <c r="F68" s="96"/>
      <c r="G68" s="96"/>
    </row>
    <row r="69" spans="3:7" x14ac:dyDescent="0.25">
      <c r="D69" s="96"/>
      <c r="F69" s="96"/>
      <c r="G69" s="96"/>
    </row>
    <row r="70" spans="3:7" x14ac:dyDescent="0.25">
      <c r="D70" s="96"/>
      <c r="F70" s="96"/>
      <c r="G70" s="96"/>
    </row>
    <row r="71" spans="3:7" x14ac:dyDescent="0.25">
      <c r="D71" s="96"/>
      <c r="F71" s="96"/>
      <c r="G71" s="96"/>
    </row>
    <row r="72" spans="3:7" x14ac:dyDescent="0.25">
      <c r="D72" s="96"/>
      <c r="F72" s="96"/>
      <c r="G72" s="96"/>
    </row>
    <row r="73" spans="3:7" x14ac:dyDescent="0.25">
      <c r="D73" s="96"/>
      <c r="F73" s="96"/>
      <c r="G73" s="96"/>
    </row>
    <row r="74" spans="3:7" x14ac:dyDescent="0.25">
      <c r="C74" s="96"/>
      <c r="D74" s="96"/>
      <c r="E74" s="96"/>
      <c r="F74" s="96"/>
      <c r="G74" s="96"/>
    </row>
    <row r="75" spans="3:7" x14ac:dyDescent="0.25">
      <c r="C75" s="96"/>
      <c r="D75" s="96"/>
      <c r="E75" s="96"/>
      <c r="F75" s="96"/>
      <c r="G75" s="96"/>
    </row>
    <row r="76" spans="3:7" x14ac:dyDescent="0.25">
      <c r="C76" s="96"/>
      <c r="D76" s="96"/>
      <c r="E76" s="96"/>
      <c r="F76" s="96"/>
      <c r="G76" s="96"/>
    </row>
    <row r="77" spans="3:7" x14ac:dyDescent="0.25">
      <c r="C77" s="96"/>
      <c r="D77" s="96"/>
      <c r="E77" s="96"/>
      <c r="F77" s="96"/>
      <c r="G77" s="96"/>
    </row>
    <row r="78" spans="3:7" x14ac:dyDescent="0.25">
      <c r="C78" s="96"/>
      <c r="D78" s="96"/>
      <c r="E78" s="96"/>
      <c r="F78" s="96"/>
      <c r="G78" s="96"/>
    </row>
    <row r="79" spans="3:7" x14ac:dyDescent="0.25">
      <c r="C79" s="96"/>
      <c r="D79" s="96"/>
      <c r="E79" s="96"/>
      <c r="F79" s="96"/>
      <c r="G79" s="96"/>
    </row>
    <row r="80" spans="3:7" x14ac:dyDescent="0.25">
      <c r="C80" s="96"/>
      <c r="D80" s="96"/>
      <c r="E80" s="96"/>
      <c r="F80" s="96"/>
      <c r="G80" s="96"/>
    </row>
    <row r="81" spans="3:7" x14ac:dyDescent="0.25">
      <c r="C81" s="96"/>
      <c r="D81" s="96"/>
      <c r="E81" s="96"/>
      <c r="F81" s="96"/>
      <c r="G81" s="96"/>
    </row>
    <row r="82" spans="3:7" x14ac:dyDescent="0.25">
      <c r="C82" s="96"/>
      <c r="D82" s="96"/>
      <c r="E82" s="96"/>
      <c r="F82" s="96"/>
      <c r="G82" s="96"/>
    </row>
    <row r="83" spans="3:7" x14ac:dyDescent="0.25">
      <c r="C83" s="96"/>
      <c r="D83" s="96"/>
      <c r="E83" s="96"/>
      <c r="F83" s="96"/>
      <c r="G83" s="96"/>
    </row>
    <row r="84" spans="3:7" x14ac:dyDescent="0.25">
      <c r="C84" s="96"/>
      <c r="D84" s="96"/>
      <c r="E84" s="96"/>
      <c r="F84" s="96"/>
      <c r="G84" s="96"/>
    </row>
    <row r="85" spans="3:7" x14ac:dyDescent="0.25">
      <c r="C85" s="96"/>
      <c r="D85" s="96"/>
      <c r="E85" s="96"/>
      <c r="F85" s="96"/>
      <c r="G85" s="96"/>
    </row>
    <row r="86" spans="3:7" x14ac:dyDescent="0.25">
      <c r="C86" s="96"/>
      <c r="D86" s="96"/>
      <c r="E86" s="96"/>
      <c r="F86" s="96"/>
      <c r="G86" s="96"/>
    </row>
    <row r="87" spans="3:7" x14ac:dyDescent="0.25">
      <c r="C87" s="96"/>
      <c r="D87" s="96"/>
      <c r="E87" s="96"/>
      <c r="F87" s="96"/>
      <c r="G87" s="96"/>
    </row>
    <row r="88" spans="3:7" x14ac:dyDescent="0.25">
      <c r="C88" s="96"/>
      <c r="D88" s="96"/>
      <c r="E88" s="96"/>
      <c r="F88" s="96"/>
      <c r="G88" s="96"/>
    </row>
    <row r="89" spans="3:7" x14ac:dyDescent="0.25">
      <c r="C89" s="96"/>
      <c r="D89" s="96"/>
      <c r="E89" s="96"/>
      <c r="F89" s="96"/>
      <c r="G89" s="96"/>
    </row>
    <row r="90" spans="3:7" x14ac:dyDescent="0.25">
      <c r="C90" s="96"/>
      <c r="D90" s="96"/>
      <c r="E90" s="96"/>
      <c r="F90" s="96"/>
      <c r="G90" s="96"/>
    </row>
    <row r="91" spans="3:7" x14ac:dyDescent="0.25">
      <c r="C91" s="96"/>
      <c r="D91" s="96"/>
      <c r="E91" s="96"/>
      <c r="F91" s="96"/>
      <c r="G91" s="96"/>
    </row>
    <row r="92" spans="3:7" x14ac:dyDescent="0.25">
      <c r="C92" s="96"/>
      <c r="D92" s="96"/>
      <c r="E92" s="96"/>
      <c r="F92" s="96"/>
      <c r="G92" s="96"/>
    </row>
    <row r="93" spans="3:7" x14ac:dyDescent="0.25">
      <c r="C93" s="96"/>
      <c r="D93" s="96"/>
      <c r="E93" s="96"/>
      <c r="F93" s="96"/>
      <c r="G93" s="96"/>
    </row>
    <row r="94" spans="3:7" x14ac:dyDescent="0.25">
      <c r="C94" s="96"/>
      <c r="D94" s="96"/>
      <c r="E94" s="96"/>
      <c r="F94" s="96"/>
      <c r="G94" s="96"/>
    </row>
    <row r="95" spans="3:7" x14ac:dyDescent="0.25">
      <c r="C95" s="96"/>
      <c r="D95" s="96"/>
      <c r="E95" s="96"/>
      <c r="F95" s="96"/>
      <c r="G95" s="96"/>
    </row>
    <row r="96" spans="3:7" x14ac:dyDescent="0.25">
      <c r="C96" s="96"/>
      <c r="D96" s="96"/>
      <c r="E96" s="96"/>
      <c r="F96" s="96"/>
      <c r="G96" s="96"/>
    </row>
    <row r="97" spans="3:7" x14ac:dyDescent="0.25">
      <c r="C97" s="96"/>
      <c r="D97" s="96"/>
      <c r="E97" s="96"/>
      <c r="F97" s="96"/>
      <c r="G97" s="96"/>
    </row>
    <row r="98" spans="3:7" x14ac:dyDescent="0.25">
      <c r="C98" s="96"/>
      <c r="D98" s="96"/>
      <c r="E98" s="96"/>
      <c r="F98" s="96"/>
      <c r="G98" s="96"/>
    </row>
    <row r="99" spans="3:7" x14ac:dyDescent="0.25">
      <c r="C99" s="96"/>
      <c r="D99" s="96"/>
      <c r="E99" s="96"/>
      <c r="F99" s="96"/>
      <c r="G99" s="96"/>
    </row>
    <row r="100" spans="3:7" x14ac:dyDescent="0.25">
      <c r="C100" s="96"/>
      <c r="D100" s="96"/>
      <c r="E100" s="96"/>
      <c r="F100" s="96"/>
      <c r="G100" s="96"/>
    </row>
    <row r="101" spans="3:7" x14ac:dyDescent="0.25">
      <c r="C101" s="96"/>
      <c r="D101" s="96"/>
      <c r="E101" s="96"/>
      <c r="F101" s="96"/>
      <c r="G101" s="96"/>
    </row>
    <row r="102" spans="3:7" x14ac:dyDescent="0.25">
      <c r="C102" s="96"/>
      <c r="D102" s="96"/>
      <c r="E102" s="96"/>
      <c r="F102" s="96"/>
      <c r="G102" s="96"/>
    </row>
    <row r="103" spans="3:7" x14ac:dyDescent="0.25">
      <c r="C103" s="96"/>
      <c r="D103" s="96"/>
      <c r="E103" s="96"/>
      <c r="F103" s="96"/>
      <c r="G103" s="96"/>
    </row>
    <row r="104" spans="3:7" x14ac:dyDescent="0.25">
      <c r="C104" s="96"/>
      <c r="D104" s="96"/>
      <c r="E104" s="96"/>
      <c r="F104" s="96"/>
      <c r="G104" s="96"/>
    </row>
    <row r="105" spans="3:7" x14ac:dyDescent="0.25">
      <c r="C105" s="96"/>
      <c r="D105" s="96"/>
      <c r="E105" s="96"/>
      <c r="F105" s="96"/>
      <c r="G105" s="96"/>
    </row>
    <row r="106" spans="3:7" x14ac:dyDescent="0.25">
      <c r="C106" s="96"/>
      <c r="D106" s="96"/>
      <c r="E106" s="96"/>
      <c r="F106" s="96"/>
      <c r="G106" s="96"/>
    </row>
    <row r="107" spans="3:7" x14ac:dyDescent="0.25">
      <c r="C107" s="96"/>
      <c r="D107" s="96"/>
      <c r="E107" s="96"/>
      <c r="F107" s="96"/>
      <c r="G107" s="96"/>
    </row>
    <row r="108" spans="3:7" x14ac:dyDescent="0.25">
      <c r="C108" s="96"/>
      <c r="D108" s="96"/>
      <c r="E108" s="96"/>
      <c r="F108" s="96"/>
      <c r="G108" s="96"/>
    </row>
    <row r="109" spans="3:7" x14ac:dyDescent="0.25">
      <c r="C109" s="96"/>
      <c r="D109" s="96"/>
      <c r="E109" s="96"/>
      <c r="F109" s="96"/>
      <c r="G109" s="96"/>
    </row>
    <row r="110" spans="3:7" x14ac:dyDescent="0.25">
      <c r="C110" s="96"/>
      <c r="D110" s="96"/>
      <c r="E110" s="96"/>
      <c r="F110" s="96"/>
      <c r="G110" s="96"/>
    </row>
    <row r="111" spans="3:7" x14ac:dyDescent="0.25">
      <c r="C111" s="96"/>
      <c r="D111" s="96"/>
      <c r="E111" s="96"/>
      <c r="F111" s="96"/>
      <c r="G111" s="96"/>
    </row>
    <row r="112" spans="3:7" x14ac:dyDescent="0.25">
      <c r="C112" s="96"/>
      <c r="D112" s="96"/>
      <c r="E112" s="96"/>
      <c r="F112" s="96"/>
      <c r="G112" s="96"/>
    </row>
    <row r="113" spans="3:7" x14ac:dyDescent="0.25">
      <c r="C113" s="96"/>
      <c r="D113" s="96"/>
      <c r="E113" s="96"/>
      <c r="F113" s="96"/>
      <c r="G113" s="96"/>
    </row>
    <row r="114" spans="3:7" x14ac:dyDescent="0.25">
      <c r="C114" s="96"/>
      <c r="D114" s="96"/>
      <c r="E114" s="96"/>
      <c r="F114" s="96"/>
      <c r="G114" s="96"/>
    </row>
    <row r="115" spans="3:7" x14ac:dyDescent="0.25">
      <c r="C115" s="96"/>
      <c r="D115" s="96"/>
      <c r="E115" s="96"/>
      <c r="F115" s="96"/>
      <c r="G115" s="96"/>
    </row>
    <row r="116" spans="3:7" x14ac:dyDescent="0.25">
      <c r="C116" s="96"/>
      <c r="D116" s="96"/>
      <c r="E116" s="96"/>
      <c r="F116" s="96"/>
      <c r="G116" s="96"/>
    </row>
    <row r="117" spans="3:7" x14ac:dyDescent="0.25">
      <c r="C117" s="96"/>
      <c r="D117" s="96"/>
      <c r="E117" s="96"/>
      <c r="F117" s="96"/>
      <c r="G117" s="96"/>
    </row>
    <row r="118" spans="3:7" x14ac:dyDescent="0.25">
      <c r="C118" s="96"/>
      <c r="D118" s="96"/>
      <c r="E118" s="96"/>
      <c r="F118" s="96"/>
      <c r="G118" s="96"/>
    </row>
    <row r="119" spans="3:7" x14ac:dyDescent="0.25">
      <c r="C119" s="96"/>
      <c r="D119" s="96"/>
      <c r="E119" s="96"/>
      <c r="F119" s="96"/>
      <c r="G119" s="96"/>
    </row>
    <row r="120" spans="3:7" x14ac:dyDescent="0.25">
      <c r="C120" s="96"/>
      <c r="D120" s="96"/>
      <c r="E120" s="96"/>
      <c r="F120" s="96"/>
      <c r="G120" s="96"/>
    </row>
    <row r="121" spans="3:7" x14ac:dyDescent="0.25">
      <c r="C121" s="96"/>
      <c r="D121" s="96"/>
      <c r="E121" s="96"/>
      <c r="F121" s="96"/>
      <c r="G121" s="96"/>
    </row>
    <row r="122" spans="3:7" x14ac:dyDescent="0.25">
      <c r="C122" s="96"/>
      <c r="D122" s="96"/>
      <c r="E122" s="96"/>
      <c r="F122" s="96"/>
      <c r="G122" s="96"/>
    </row>
    <row r="123" spans="3:7" x14ac:dyDescent="0.25">
      <c r="C123" s="96"/>
      <c r="D123" s="96"/>
      <c r="E123" s="96"/>
      <c r="F123" s="96"/>
      <c r="G123" s="96"/>
    </row>
    <row r="124" spans="3:7" x14ac:dyDescent="0.25">
      <c r="C124" s="96"/>
      <c r="D124" s="96"/>
      <c r="E124" s="96"/>
      <c r="F124" s="96"/>
      <c r="G124" s="96"/>
    </row>
    <row r="125" spans="3:7" x14ac:dyDescent="0.25">
      <c r="C125" s="96"/>
      <c r="D125" s="96"/>
      <c r="E125" s="96"/>
      <c r="F125" s="96"/>
      <c r="G125" s="96"/>
    </row>
    <row r="126" spans="3:7" x14ac:dyDescent="0.25">
      <c r="C126" s="96"/>
      <c r="D126" s="96"/>
      <c r="E126" s="96"/>
      <c r="F126" s="96"/>
      <c r="G126" s="96"/>
    </row>
    <row r="127" spans="3:7" x14ac:dyDescent="0.25">
      <c r="C127" s="96"/>
      <c r="D127" s="96"/>
      <c r="E127" s="96"/>
      <c r="F127" s="96"/>
      <c r="G127" s="96"/>
    </row>
    <row r="128" spans="3:7" x14ac:dyDescent="0.25">
      <c r="C128" s="96"/>
      <c r="D128" s="96"/>
      <c r="E128" s="96"/>
      <c r="F128" s="96"/>
      <c r="G128" s="96"/>
    </row>
    <row r="129" spans="3:7" x14ac:dyDescent="0.25">
      <c r="C129" s="96"/>
      <c r="D129" s="96"/>
      <c r="E129" s="96"/>
      <c r="F129" s="96"/>
      <c r="G129" s="96"/>
    </row>
    <row r="130" spans="3:7" x14ac:dyDescent="0.25">
      <c r="C130" s="96"/>
      <c r="D130" s="96"/>
      <c r="E130" s="96"/>
      <c r="F130" s="96"/>
      <c r="G130" s="96"/>
    </row>
    <row r="131" spans="3:7" x14ac:dyDescent="0.25">
      <c r="C131" s="96"/>
      <c r="D131" s="96"/>
      <c r="E131" s="96"/>
      <c r="F131" s="96"/>
      <c r="G131" s="96"/>
    </row>
    <row r="132" spans="3:7" x14ac:dyDescent="0.25">
      <c r="C132" s="96"/>
      <c r="D132" s="96"/>
      <c r="E132" s="96"/>
      <c r="F132" s="96"/>
      <c r="G132" s="96"/>
    </row>
    <row r="133" spans="3:7" x14ac:dyDescent="0.25">
      <c r="C133" s="96"/>
      <c r="D133" s="96"/>
      <c r="E133" s="96"/>
      <c r="F133" s="96"/>
      <c r="G133" s="96"/>
    </row>
    <row r="134" spans="3:7" x14ac:dyDescent="0.25">
      <c r="C134" s="96"/>
      <c r="D134" s="96"/>
      <c r="E134" s="96"/>
      <c r="F134" s="96"/>
      <c r="G134" s="96"/>
    </row>
    <row r="135" spans="3:7" x14ac:dyDescent="0.25">
      <c r="C135" s="96"/>
      <c r="D135" s="96"/>
      <c r="E135" s="96"/>
      <c r="F135" s="96"/>
      <c r="G135" s="96"/>
    </row>
    <row r="136" spans="3:7" x14ac:dyDescent="0.25">
      <c r="C136" s="96"/>
      <c r="D136" s="96"/>
      <c r="E136" s="96"/>
      <c r="F136" s="96"/>
      <c r="G136" s="96"/>
    </row>
    <row r="137" spans="3:7" x14ac:dyDescent="0.25">
      <c r="C137" s="96"/>
      <c r="D137" s="96"/>
      <c r="E137" s="96"/>
      <c r="F137" s="96"/>
      <c r="G137" s="96"/>
    </row>
    <row r="138" spans="3:7" x14ac:dyDescent="0.25">
      <c r="C138" s="96"/>
      <c r="D138" s="96"/>
      <c r="E138" s="96"/>
      <c r="F138" s="96"/>
      <c r="G138" s="96"/>
    </row>
    <row r="139" spans="3:7" x14ac:dyDescent="0.25">
      <c r="C139" s="96"/>
      <c r="D139" s="96"/>
      <c r="E139" s="96"/>
      <c r="F139" s="96"/>
      <c r="G139" s="96"/>
    </row>
    <row r="140" spans="3:7" x14ac:dyDescent="0.25">
      <c r="C140" s="96"/>
      <c r="D140" s="96"/>
      <c r="E140" s="96"/>
      <c r="F140" s="96"/>
      <c r="G140" s="96"/>
    </row>
    <row r="141" spans="3:7" x14ac:dyDescent="0.25">
      <c r="C141" s="96"/>
      <c r="D141" s="96"/>
      <c r="E141" s="96"/>
      <c r="F141" s="96"/>
      <c r="G141" s="96"/>
    </row>
    <row r="142" spans="3:7" x14ac:dyDescent="0.25">
      <c r="C142" s="96"/>
      <c r="D142" s="96"/>
      <c r="E142" s="96"/>
      <c r="F142" s="96"/>
      <c r="G142" s="96"/>
    </row>
    <row r="143" spans="3:7" x14ac:dyDescent="0.25">
      <c r="C143" s="96"/>
      <c r="D143" s="96"/>
      <c r="E143" s="96"/>
      <c r="F143" s="96"/>
      <c r="G143" s="96"/>
    </row>
    <row r="144" spans="3:7" x14ac:dyDescent="0.25">
      <c r="C144" s="96"/>
      <c r="D144" s="96"/>
      <c r="E144" s="96"/>
      <c r="F144" s="96"/>
      <c r="G144" s="96"/>
    </row>
    <row r="145" spans="3:7" x14ac:dyDescent="0.25">
      <c r="C145" s="96"/>
      <c r="D145" s="96"/>
      <c r="E145" s="96"/>
      <c r="F145" s="96"/>
      <c r="G145" s="96"/>
    </row>
    <row r="146" spans="3:7" x14ac:dyDescent="0.25">
      <c r="C146" s="96"/>
      <c r="D146" s="96"/>
      <c r="E146" s="96"/>
      <c r="F146" s="96"/>
      <c r="G146" s="96"/>
    </row>
    <row r="147" spans="3:7" x14ac:dyDescent="0.25">
      <c r="C147" s="96"/>
      <c r="D147" s="96"/>
      <c r="E147" s="96"/>
      <c r="F147" s="96"/>
      <c r="G147" s="96"/>
    </row>
    <row r="148" spans="3:7" x14ac:dyDescent="0.25">
      <c r="C148" s="96"/>
      <c r="D148" s="96"/>
      <c r="E148" s="96"/>
      <c r="F148" s="96"/>
      <c r="G148" s="96"/>
    </row>
    <row r="149" spans="3:7" x14ac:dyDescent="0.25">
      <c r="C149" s="96"/>
      <c r="D149" s="96"/>
      <c r="E149" s="96"/>
      <c r="F149" s="96"/>
      <c r="G149" s="96"/>
    </row>
    <row r="150" spans="3:7" x14ac:dyDescent="0.25">
      <c r="C150" s="96"/>
      <c r="D150" s="96"/>
      <c r="E150" s="96"/>
      <c r="F150" s="96"/>
      <c r="G150" s="96"/>
    </row>
    <row r="151" spans="3:7" x14ac:dyDescent="0.25">
      <c r="C151" s="96"/>
      <c r="D151" s="96"/>
      <c r="E151" s="96"/>
      <c r="F151" s="96"/>
      <c r="G151" s="96"/>
    </row>
    <row r="152" spans="3:7" x14ac:dyDescent="0.25">
      <c r="C152" s="96"/>
      <c r="D152" s="96"/>
      <c r="E152" s="96"/>
      <c r="F152" s="96"/>
      <c r="G152" s="96"/>
    </row>
    <row r="153" spans="3:7" x14ac:dyDescent="0.25">
      <c r="C153" s="96"/>
      <c r="D153" s="96"/>
      <c r="E153" s="96"/>
      <c r="F153" s="96"/>
      <c r="G153" s="96"/>
    </row>
    <row r="154" spans="3:7" x14ac:dyDescent="0.25">
      <c r="C154" s="96"/>
      <c r="D154" s="96"/>
      <c r="E154" s="96"/>
      <c r="F154" s="96"/>
      <c r="G154" s="96"/>
    </row>
    <row r="155" spans="3:7" x14ac:dyDescent="0.25">
      <c r="C155" s="96"/>
      <c r="D155" s="96"/>
      <c r="E155" s="96"/>
      <c r="F155" s="96"/>
      <c r="G155" s="96"/>
    </row>
    <row r="156" spans="3:7" x14ac:dyDescent="0.25">
      <c r="C156" s="96"/>
      <c r="D156" s="96"/>
      <c r="E156" s="96"/>
      <c r="F156" s="96"/>
      <c r="G156" s="96"/>
    </row>
    <row r="157" spans="3:7" x14ac:dyDescent="0.25">
      <c r="C157" s="96"/>
      <c r="D157" s="96"/>
      <c r="E157" s="96"/>
      <c r="F157" s="96"/>
      <c r="G157" s="96"/>
    </row>
    <row r="158" spans="3:7" x14ac:dyDescent="0.25">
      <c r="C158" s="96"/>
      <c r="D158" s="96"/>
      <c r="E158" s="96"/>
      <c r="F158" s="96"/>
      <c r="G158" s="96"/>
    </row>
    <row r="159" spans="3:7" x14ac:dyDescent="0.25">
      <c r="C159" s="96"/>
      <c r="D159" s="96"/>
      <c r="E159" s="96"/>
      <c r="F159" s="96"/>
      <c r="G159" s="96"/>
    </row>
    <row r="160" spans="3:7" x14ac:dyDescent="0.25">
      <c r="C160" s="96"/>
      <c r="D160" s="96"/>
      <c r="E160" s="96"/>
      <c r="F160" s="96"/>
      <c r="G160" s="96"/>
    </row>
    <row r="161" spans="3:7" x14ac:dyDescent="0.25">
      <c r="C161" s="96"/>
      <c r="D161" s="96"/>
      <c r="E161" s="96"/>
      <c r="F161" s="96"/>
      <c r="G161" s="96"/>
    </row>
    <row r="162" spans="3:7" x14ac:dyDescent="0.25">
      <c r="C162" s="96"/>
      <c r="D162" s="96"/>
      <c r="E162" s="96"/>
      <c r="F162" s="96"/>
      <c r="G162" s="96"/>
    </row>
    <row r="163" spans="3:7" x14ac:dyDescent="0.25">
      <c r="C163" s="96"/>
      <c r="D163" s="96"/>
      <c r="E163" s="96"/>
      <c r="F163" s="96"/>
      <c r="G163" s="96"/>
    </row>
    <row r="164" spans="3:7" x14ac:dyDescent="0.25">
      <c r="C164" s="96"/>
      <c r="D164" s="96"/>
      <c r="E164" s="96"/>
      <c r="F164" s="96"/>
      <c r="G164" s="96"/>
    </row>
    <row r="165" spans="3:7" x14ac:dyDescent="0.25">
      <c r="C165" s="96"/>
      <c r="D165" s="96"/>
      <c r="E165" s="96"/>
      <c r="F165" s="96"/>
      <c r="G165" s="96"/>
    </row>
    <row r="166" spans="3:7" x14ac:dyDescent="0.25">
      <c r="C166" s="96"/>
      <c r="D166" s="96"/>
      <c r="E166" s="96"/>
      <c r="F166" s="96"/>
      <c r="G166" s="96"/>
    </row>
    <row r="167" spans="3:7" x14ac:dyDescent="0.25">
      <c r="C167" s="96"/>
      <c r="D167" s="96"/>
      <c r="E167" s="96"/>
      <c r="F167" s="96"/>
      <c r="G167" s="96"/>
    </row>
    <row r="168" spans="3:7" x14ac:dyDescent="0.25">
      <c r="C168" s="96"/>
      <c r="D168" s="96"/>
      <c r="E168" s="96"/>
      <c r="F168" s="96"/>
      <c r="G168" s="96"/>
    </row>
    <row r="169" spans="3:7" x14ac:dyDescent="0.25">
      <c r="C169" s="96"/>
      <c r="D169" s="96"/>
      <c r="E169" s="96"/>
      <c r="F169" s="96"/>
      <c r="G169" s="96"/>
    </row>
    <row r="170" spans="3:7" x14ac:dyDescent="0.25">
      <c r="C170" s="96"/>
      <c r="D170" s="96"/>
      <c r="E170" s="96"/>
      <c r="F170" s="96"/>
      <c r="G170" s="96"/>
    </row>
    <row r="171" spans="3:7" x14ac:dyDescent="0.25">
      <c r="C171" s="96"/>
      <c r="D171" s="96"/>
      <c r="E171" s="96"/>
      <c r="F171" s="96"/>
      <c r="G171" s="96"/>
    </row>
    <row r="172" spans="3:7" x14ac:dyDescent="0.25">
      <c r="C172" s="96"/>
      <c r="D172" s="96"/>
      <c r="E172" s="96"/>
      <c r="F172" s="96"/>
      <c r="G172" s="96"/>
    </row>
    <row r="173" spans="3:7" x14ac:dyDescent="0.25">
      <c r="C173" s="96"/>
      <c r="D173" s="96"/>
      <c r="E173" s="96"/>
      <c r="F173" s="96"/>
      <c r="G173" s="96"/>
    </row>
    <row r="174" spans="3:7" x14ac:dyDescent="0.25">
      <c r="C174" s="96"/>
      <c r="D174" s="96"/>
      <c r="E174" s="96"/>
      <c r="F174" s="96"/>
      <c r="G174" s="96"/>
    </row>
    <row r="175" spans="3:7" x14ac:dyDescent="0.25">
      <c r="C175" s="96"/>
      <c r="D175" s="96"/>
      <c r="E175" s="96"/>
      <c r="F175" s="96"/>
      <c r="G175" s="96"/>
    </row>
    <row r="176" spans="3:7" x14ac:dyDescent="0.25">
      <c r="C176" s="96"/>
      <c r="D176" s="96"/>
      <c r="E176" s="96"/>
      <c r="F176" s="96"/>
      <c r="G176" s="96"/>
    </row>
    <row r="177" spans="3:7" x14ac:dyDescent="0.25">
      <c r="C177" s="96"/>
      <c r="D177" s="96"/>
      <c r="E177" s="96"/>
      <c r="F177" s="96"/>
      <c r="G177" s="96"/>
    </row>
    <row r="178" spans="3:7" x14ac:dyDescent="0.25">
      <c r="C178" s="96"/>
      <c r="D178" s="96"/>
      <c r="E178" s="96"/>
      <c r="F178" s="96"/>
      <c r="G178" s="96"/>
    </row>
    <row r="179" spans="3:7" x14ac:dyDescent="0.25">
      <c r="C179" s="96"/>
      <c r="D179" s="96"/>
      <c r="E179" s="96"/>
      <c r="F179" s="96"/>
      <c r="G179" s="96"/>
    </row>
    <row r="180" spans="3:7" x14ac:dyDescent="0.25">
      <c r="C180" s="96"/>
      <c r="D180" s="96"/>
      <c r="E180" s="96"/>
      <c r="F180" s="96"/>
      <c r="G180" s="96"/>
    </row>
    <row r="181" spans="3:7" x14ac:dyDescent="0.25">
      <c r="C181" s="96"/>
      <c r="D181" s="96"/>
      <c r="E181" s="96"/>
      <c r="F181" s="96"/>
      <c r="G181" s="96"/>
    </row>
    <row r="182" spans="3:7" x14ac:dyDescent="0.25">
      <c r="C182" s="96"/>
      <c r="D182" s="96"/>
      <c r="E182" s="96"/>
      <c r="F182" s="96"/>
      <c r="G182" s="96"/>
    </row>
    <row r="183" spans="3:7" x14ac:dyDescent="0.25">
      <c r="C183" s="96"/>
      <c r="D183" s="96"/>
      <c r="E183" s="96"/>
      <c r="F183" s="96"/>
      <c r="G183" s="96"/>
    </row>
    <row r="184" spans="3:7" x14ac:dyDescent="0.25">
      <c r="C184" s="96"/>
      <c r="D184" s="96"/>
      <c r="E184" s="96"/>
      <c r="F184" s="96"/>
      <c r="G184" s="96"/>
    </row>
    <row r="185" spans="3:7" x14ac:dyDescent="0.25">
      <c r="C185" s="96"/>
      <c r="D185" s="96"/>
      <c r="E185" s="96"/>
      <c r="F185" s="96"/>
      <c r="G185" s="96"/>
    </row>
    <row r="186" spans="3:7" x14ac:dyDescent="0.25">
      <c r="C186" s="96"/>
      <c r="D186" s="96"/>
      <c r="E186" s="96"/>
      <c r="F186" s="96"/>
      <c r="G186" s="96"/>
    </row>
    <row r="187" spans="3:7" x14ac:dyDescent="0.25">
      <c r="C187" s="96"/>
      <c r="D187" s="96"/>
      <c r="E187" s="96"/>
      <c r="F187" s="96"/>
      <c r="G187" s="96"/>
    </row>
    <row r="188" spans="3:7" x14ac:dyDescent="0.25">
      <c r="C188" s="96"/>
      <c r="D188" s="96"/>
      <c r="E188" s="96"/>
      <c r="F188" s="96"/>
      <c r="G188" s="96"/>
    </row>
    <row r="189" spans="3:7" x14ac:dyDescent="0.25">
      <c r="C189" s="96"/>
      <c r="D189" s="96"/>
      <c r="E189" s="96"/>
      <c r="F189" s="96"/>
      <c r="G189" s="96"/>
    </row>
  </sheetData>
  <mergeCells count="2">
    <mergeCell ref="A1:G1"/>
    <mergeCell ref="A2:I2"/>
  </mergeCells>
  <pageMargins left="0.7" right="0.7" top="0.75" bottom="0.75" header="0.3" footer="0.3"/>
  <pageSetup scale="5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view="pageBreakPreview" topLeftCell="A6" zoomScale="60" zoomScaleNormal="100" workbookViewId="0">
      <selection activeCell="M35" sqref="A3:M35"/>
    </sheetView>
  </sheetViews>
  <sheetFormatPr defaultRowHeight="15" x14ac:dyDescent="0.25"/>
  <cols>
    <col min="1" max="1" width="5.42578125" style="101" bestFit="1" customWidth="1"/>
    <col min="2" max="2" width="38.42578125" style="101" customWidth="1"/>
    <col min="3" max="3" width="10.85546875" style="101" bestFit="1" customWidth="1"/>
    <col min="4" max="13" width="11.28515625" style="101" bestFit="1" customWidth="1"/>
    <col min="14" max="16384" width="9.140625" style="101"/>
  </cols>
  <sheetData>
    <row r="1" spans="1:13" x14ac:dyDescent="0.25">
      <c r="A1" s="347" t="s">
        <v>321</v>
      </c>
      <c r="B1" s="348"/>
      <c r="C1" s="348"/>
      <c r="D1" s="348"/>
      <c r="E1" s="348"/>
      <c r="F1" s="348"/>
      <c r="G1" s="348"/>
      <c r="H1" s="348"/>
      <c r="I1" s="348"/>
      <c r="J1" s="348"/>
    </row>
    <row r="3" spans="1:13" x14ac:dyDescent="0.25">
      <c r="A3" s="115" t="s">
        <v>644</v>
      </c>
      <c r="B3" s="115" t="s">
        <v>1</v>
      </c>
      <c r="C3" s="115" t="s">
        <v>445</v>
      </c>
      <c r="D3" s="115" t="s">
        <v>36</v>
      </c>
      <c r="E3" s="115" t="s">
        <v>37</v>
      </c>
      <c r="F3" s="115" t="s">
        <v>38</v>
      </c>
      <c r="G3" s="115" t="s">
        <v>39</v>
      </c>
      <c r="H3" s="115" t="s">
        <v>40</v>
      </c>
      <c r="I3" s="115" t="s">
        <v>41</v>
      </c>
      <c r="J3" s="115" t="s">
        <v>42</v>
      </c>
      <c r="K3" s="115" t="s">
        <v>494</v>
      </c>
      <c r="L3" s="115" t="s">
        <v>495</v>
      </c>
      <c r="M3" s="115" t="s">
        <v>496</v>
      </c>
    </row>
    <row r="4" spans="1:13" x14ac:dyDescent="0.25">
      <c r="A4" s="102">
        <v>1</v>
      </c>
      <c r="B4" s="102" t="s">
        <v>322</v>
      </c>
      <c r="C4" s="102"/>
      <c r="D4" s="103"/>
      <c r="E4" s="103"/>
      <c r="F4" s="103"/>
      <c r="G4" s="103"/>
      <c r="H4" s="103"/>
      <c r="I4" s="36"/>
      <c r="J4" s="36"/>
      <c r="K4" s="36"/>
      <c r="L4" s="36"/>
      <c r="M4" s="36"/>
    </row>
    <row r="5" spans="1:13" x14ac:dyDescent="0.25">
      <c r="A5" s="102"/>
      <c r="B5" s="102" t="s">
        <v>323</v>
      </c>
      <c r="C5" s="110">
        <v>0</v>
      </c>
      <c r="D5" s="104">
        <f>'P&amp;L'!B9</f>
        <v>197.88800000000001</v>
      </c>
      <c r="E5" s="104">
        <f>'P&amp;L'!C9</f>
        <v>237.43260000000001</v>
      </c>
      <c r="F5" s="104">
        <f>'P&amp;L'!D9</f>
        <v>272.72230000000002</v>
      </c>
      <c r="G5" s="104">
        <f>'P&amp;L'!E9</f>
        <v>309.98019999999997</v>
      </c>
      <c r="H5" s="104">
        <f>'P&amp;L'!F9</f>
        <v>350.88290000000001</v>
      </c>
      <c r="I5" s="104">
        <f>'P&amp;L'!G9</f>
        <v>394.34230000000002</v>
      </c>
      <c r="J5" s="104">
        <f>'P&amp;L'!H9</f>
        <v>440.47550000000007</v>
      </c>
      <c r="K5" s="104">
        <f>'P&amp;L'!I9</f>
        <v>489.87750000000005</v>
      </c>
      <c r="L5" s="104">
        <f>'P&amp;L'!J9</f>
        <v>542.35840000000007</v>
      </c>
      <c r="M5" s="104">
        <f>'P&amp;L'!K9</f>
        <v>600.72990000000004</v>
      </c>
    </row>
    <row r="6" spans="1:13" x14ac:dyDescent="0.25">
      <c r="A6" s="102">
        <v>2</v>
      </c>
      <c r="B6" s="102" t="s">
        <v>324</v>
      </c>
      <c r="C6" s="178">
        <f>BS!B20</f>
        <v>0</v>
      </c>
      <c r="D6" s="105"/>
      <c r="E6" s="103">
        <v>0</v>
      </c>
      <c r="F6" s="103">
        <v>0</v>
      </c>
      <c r="G6" s="103">
        <v>0</v>
      </c>
      <c r="H6" s="103">
        <v>0</v>
      </c>
      <c r="I6" s="103">
        <v>0</v>
      </c>
      <c r="J6" s="103">
        <v>0</v>
      </c>
      <c r="K6" s="103">
        <v>0</v>
      </c>
      <c r="L6" s="103">
        <v>0</v>
      </c>
      <c r="M6" s="103">
        <v>0</v>
      </c>
    </row>
    <row r="7" spans="1:13" x14ac:dyDescent="0.25">
      <c r="A7" s="102">
        <v>3</v>
      </c>
      <c r="B7" s="102" t="s">
        <v>298</v>
      </c>
      <c r="C7" s="178">
        <f>BS!B7</f>
        <v>128.05733854166667</v>
      </c>
      <c r="D7" s="105"/>
      <c r="E7" s="105">
        <v>0</v>
      </c>
      <c r="F7" s="105">
        <v>0</v>
      </c>
      <c r="G7" s="103">
        <v>0</v>
      </c>
      <c r="H7" s="103">
        <v>0</v>
      </c>
      <c r="I7" s="103">
        <v>0</v>
      </c>
      <c r="J7" s="103">
        <v>0</v>
      </c>
      <c r="K7" s="103">
        <v>0</v>
      </c>
      <c r="L7" s="103">
        <v>0</v>
      </c>
      <c r="M7" s="103">
        <v>0</v>
      </c>
    </row>
    <row r="8" spans="1:13" x14ac:dyDescent="0.25">
      <c r="A8" s="102">
        <v>4</v>
      </c>
      <c r="B8" s="102" t="s">
        <v>325</v>
      </c>
      <c r="C8" s="102"/>
      <c r="D8" s="105">
        <f>BS!C21</f>
        <v>9.2842156249999981</v>
      </c>
      <c r="E8" s="105">
        <f>BS!D21-BS!C21</f>
        <v>2.9767220312499987</v>
      </c>
      <c r="F8" s="105">
        <f>BS!E21-BS!D21</f>
        <v>1.9339062578125059</v>
      </c>
      <c r="G8" s="105">
        <f>BS!F21-BS!E21</f>
        <v>2.220381258203119</v>
      </c>
      <c r="H8" s="105">
        <f>BS!G21-BS!F21</f>
        <v>2.2530175086132793</v>
      </c>
      <c r="I8" s="105">
        <f>BS!H21-BS!G21</f>
        <v>2.7048849465439524</v>
      </c>
      <c r="J8" s="105">
        <f>BS!I21-BS!H21</f>
        <v>2.5932216938711434</v>
      </c>
      <c r="K8" s="105">
        <f>BS!J21-BS!I21</f>
        <v>2.8271715285646941</v>
      </c>
      <c r="L8" s="105">
        <f>BS!K21-BS!J21</f>
        <v>3.9506838549929491</v>
      </c>
      <c r="M8" s="105">
        <f>BS!L21-BS!K21</f>
        <v>3.4410824227425678</v>
      </c>
    </row>
    <row r="9" spans="1:13" x14ac:dyDescent="0.25">
      <c r="A9" s="102">
        <v>5</v>
      </c>
      <c r="B9" s="102" t="s">
        <v>326</v>
      </c>
      <c r="C9" s="178">
        <f>BS!B13</f>
        <v>187.44390000000001</v>
      </c>
      <c r="D9" s="105">
        <v>0</v>
      </c>
      <c r="E9" s="105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v>0</v>
      </c>
    </row>
    <row r="10" spans="1:13" x14ac:dyDescent="0.25">
      <c r="A10" s="102">
        <v>6</v>
      </c>
      <c r="B10" s="102" t="s">
        <v>327</v>
      </c>
      <c r="C10" s="102"/>
      <c r="D10" s="105">
        <f>BS!C22</f>
        <v>14.483712500000001</v>
      </c>
      <c r="E10" s="105">
        <f>BS!D22-BS!C22</f>
        <v>1.4872206249999991</v>
      </c>
      <c r="F10" s="105">
        <f>BS!E22-BS!D22</f>
        <v>1.9973666562499997</v>
      </c>
      <c r="G10" s="105">
        <f>BS!F22-BS!E22</f>
        <v>2.1424166557291677</v>
      </c>
      <c r="H10" s="105">
        <f>BS!G22-BS!F22</f>
        <v>2.3224349885156279</v>
      </c>
      <c r="I10" s="105">
        <f>BS!H22-BS!G22</f>
        <v>2.4677034046080735</v>
      </c>
      <c r="J10" s="105">
        <f>BS!I22-BS!H22</f>
        <v>2.6383044081718054</v>
      </c>
      <c r="K10" s="105">
        <f>BS!J22-BS!I22</f>
        <v>2.7701712952470707</v>
      </c>
      <c r="L10" s="105">
        <f>BS!K22-BS!J22</f>
        <v>3.0197298600094129</v>
      </c>
      <c r="M10" s="105">
        <f>BS!L22-BS!K22</f>
        <v>3.1480817696765655</v>
      </c>
    </row>
    <row r="11" spans="1:13" x14ac:dyDescent="0.25">
      <c r="A11" s="102"/>
      <c r="B11" s="102"/>
      <c r="C11" s="102"/>
      <c r="D11" s="103"/>
      <c r="E11" s="103"/>
      <c r="F11" s="103"/>
      <c r="G11" s="103"/>
      <c r="H11" s="103"/>
      <c r="I11" s="36"/>
      <c r="J11" s="36"/>
      <c r="K11" s="36"/>
      <c r="L11" s="36"/>
      <c r="M11" s="36"/>
    </row>
    <row r="12" spans="1:13" x14ac:dyDescent="0.25">
      <c r="A12" s="102"/>
      <c r="B12" s="102" t="s">
        <v>328</v>
      </c>
      <c r="C12" s="106">
        <f>SUM(C5:C11)</f>
        <v>315.50123854166668</v>
      </c>
      <c r="D12" s="106">
        <f>SUM(D5:D11)</f>
        <v>221.655928125</v>
      </c>
      <c r="E12" s="106">
        <f t="shared" ref="E12:M12" si="0">SUM(E5:E11)</f>
        <v>241.89654265625001</v>
      </c>
      <c r="F12" s="106">
        <f t="shared" si="0"/>
        <v>276.65357291406252</v>
      </c>
      <c r="G12" s="106">
        <f t="shared" si="0"/>
        <v>314.34299791393227</v>
      </c>
      <c r="H12" s="106">
        <f t="shared" si="0"/>
        <v>355.45835249712889</v>
      </c>
      <c r="I12" s="106">
        <f t="shared" si="0"/>
        <v>399.51488835115202</v>
      </c>
      <c r="J12" s="106">
        <f t="shared" si="0"/>
        <v>445.70702610204302</v>
      </c>
      <c r="K12" s="106">
        <f t="shared" si="0"/>
        <v>495.4748428238118</v>
      </c>
      <c r="L12" s="106">
        <f t="shared" si="0"/>
        <v>549.32881371500241</v>
      </c>
      <c r="M12" s="106">
        <f t="shared" si="0"/>
        <v>607.31906419241909</v>
      </c>
    </row>
    <row r="13" spans="1:13" x14ac:dyDescent="0.25">
      <c r="A13" s="349" t="s">
        <v>329</v>
      </c>
      <c r="B13" s="349"/>
      <c r="C13" s="107"/>
      <c r="D13" s="108"/>
      <c r="E13" s="108"/>
      <c r="F13" s="108"/>
      <c r="G13" s="108"/>
      <c r="H13" s="108"/>
      <c r="I13" s="36"/>
      <c r="J13" s="36"/>
      <c r="K13" s="36"/>
      <c r="L13" s="36"/>
      <c r="M13" s="36"/>
    </row>
    <row r="14" spans="1:13" x14ac:dyDescent="0.25">
      <c r="A14" s="102">
        <v>1</v>
      </c>
      <c r="B14" s="102" t="s">
        <v>330</v>
      </c>
      <c r="C14" s="102"/>
      <c r="D14" s="108"/>
      <c r="E14" s="108"/>
      <c r="F14" s="108"/>
      <c r="G14" s="108"/>
      <c r="H14" s="108"/>
      <c r="I14" s="36"/>
      <c r="J14" s="36"/>
      <c r="K14" s="36"/>
      <c r="L14" s="36"/>
      <c r="M14" s="36"/>
    </row>
    <row r="15" spans="1:13" x14ac:dyDescent="0.25">
      <c r="A15" s="109" t="s">
        <v>331</v>
      </c>
      <c r="B15" s="108" t="s">
        <v>430</v>
      </c>
      <c r="C15" s="179">
        <f>'Project Glance'!B6+'Project Glance'!B7+'Project Glance'!B8+'Project Glance'!B9</f>
        <v>297.52999999999997</v>
      </c>
      <c r="D15" s="105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</row>
    <row r="16" spans="1:13" x14ac:dyDescent="0.25">
      <c r="A16" s="109" t="s">
        <v>332</v>
      </c>
      <c r="B16" s="108" t="s">
        <v>334</v>
      </c>
      <c r="C16" s="179">
        <f>'Project Glance'!B10</f>
        <v>14.876500000000002</v>
      </c>
      <c r="D16" s="105">
        <v>0</v>
      </c>
      <c r="E16" s="105">
        <v>0</v>
      </c>
      <c r="F16" s="105">
        <v>0</v>
      </c>
      <c r="G16" s="105">
        <v>0</v>
      </c>
      <c r="H16" s="105">
        <v>0</v>
      </c>
      <c r="I16" s="105">
        <v>0</v>
      </c>
      <c r="J16" s="105">
        <v>0</v>
      </c>
      <c r="K16" s="105">
        <v>0</v>
      </c>
      <c r="L16" s="105">
        <v>0</v>
      </c>
      <c r="M16" s="105">
        <v>0</v>
      </c>
    </row>
    <row r="17" spans="1:13" x14ac:dyDescent="0.25">
      <c r="A17" s="109" t="s">
        <v>333</v>
      </c>
      <c r="B17" s="108" t="s">
        <v>21</v>
      </c>
      <c r="C17" s="179">
        <f>'Project Glance'!B12</f>
        <v>0</v>
      </c>
      <c r="D17" s="105">
        <v>0</v>
      </c>
      <c r="E17" s="105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0</v>
      </c>
      <c r="L17" s="105">
        <v>0</v>
      </c>
      <c r="M17" s="105">
        <v>0</v>
      </c>
    </row>
    <row r="18" spans="1:13" x14ac:dyDescent="0.25">
      <c r="A18" s="109" t="s">
        <v>431</v>
      </c>
      <c r="B18" s="108" t="s">
        <v>432</v>
      </c>
      <c r="C18" s="179">
        <f>'Project Glance'!B11</f>
        <v>0</v>
      </c>
      <c r="D18" s="105">
        <v>0</v>
      </c>
      <c r="E18" s="105">
        <v>0</v>
      </c>
      <c r="F18" s="105">
        <v>0</v>
      </c>
      <c r="G18" s="105">
        <v>0</v>
      </c>
      <c r="H18" s="105">
        <v>0</v>
      </c>
      <c r="I18" s="105">
        <v>0</v>
      </c>
      <c r="J18" s="105">
        <v>0</v>
      </c>
      <c r="K18" s="105">
        <v>0</v>
      </c>
      <c r="L18" s="105">
        <v>0</v>
      </c>
      <c r="M18" s="105">
        <v>0</v>
      </c>
    </row>
    <row r="19" spans="1:13" x14ac:dyDescent="0.25">
      <c r="A19" s="109"/>
      <c r="B19" s="108"/>
      <c r="C19" s="108"/>
      <c r="D19" s="105"/>
      <c r="E19" s="105"/>
      <c r="F19" s="105"/>
      <c r="G19" s="105"/>
      <c r="H19" s="105"/>
      <c r="I19" s="105"/>
      <c r="J19" s="105"/>
      <c r="K19" s="36"/>
      <c r="L19" s="36"/>
      <c r="M19" s="36"/>
    </row>
    <row r="20" spans="1:13" x14ac:dyDescent="0.25">
      <c r="A20" s="102">
        <v>2</v>
      </c>
      <c r="B20" s="102" t="s">
        <v>335</v>
      </c>
      <c r="C20" s="102"/>
      <c r="D20" s="108"/>
      <c r="E20" s="108"/>
      <c r="F20" s="108"/>
      <c r="G20" s="108"/>
      <c r="H20" s="108"/>
      <c r="I20" s="36"/>
      <c r="J20" s="36"/>
      <c r="K20" s="36"/>
      <c r="L20" s="36"/>
      <c r="M20" s="36"/>
    </row>
    <row r="21" spans="1:13" x14ac:dyDescent="0.25">
      <c r="A21" s="109" t="s">
        <v>331</v>
      </c>
      <c r="B21" s="108" t="s">
        <v>336</v>
      </c>
      <c r="C21" s="108"/>
      <c r="D21" s="105">
        <f>'P&amp;L'!B23</f>
        <v>28.354549999999996</v>
      </c>
      <c r="E21" s="105">
        <f>'P&amp;L'!C23</f>
        <v>29.789997499999998</v>
      </c>
      <c r="F21" s="105">
        <f>'P&amp;L'!D23</f>
        <v>31.297997375000001</v>
      </c>
      <c r="G21" s="105">
        <f>'P&amp;L'!E23</f>
        <v>32.878397243750008</v>
      </c>
      <c r="H21" s="105">
        <f>'P&amp;L'!F23</f>
        <v>34.534817105937506</v>
      </c>
      <c r="I21" s="105">
        <f>'P&amp;L'!G23</f>
        <v>36.271057961234384</v>
      </c>
      <c r="J21" s="105">
        <f>'P&amp;L'!H23</f>
        <v>38.091110859296109</v>
      </c>
      <c r="K21" s="105">
        <f>'P&amp;L'!I23</f>
        <v>39.999166402260911</v>
      </c>
      <c r="L21" s="105">
        <f>'P&amp;L'!J23</f>
        <v>41.999624722373959</v>
      </c>
      <c r="M21" s="105">
        <f>'P&amp;L'!K23</f>
        <v>44.097105958492662</v>
      </c>
    </row>
    <row r="22" spans="1:13" x14ac:dyDescent="0.25">
      <c r="A22" s="109" t="s">
        <v>332</v>
      </c>
      <c r="B22" s="108" t="s">
        <v>337</v>
      </c>
      <c r="C22" s="108"/>
      <c r="D22" s="104">
        <f>'P&amp;L'!B25</f>
        <v>24.577999999999999</v>
      </c>
      <c r="E22" s="104">
        <f>'P&amp;L'!C25</f>
        <v>27.394000000000002</v>
      </c>
      <c r="F22" s="104">
        <f>'P&amp;L'!D25</f>
        <v>30.329999999999995</v>
      </c>
      <c r="G22" s="104">
        <f>'P&amp;L'!E25</f>
        <v>33.323000000000008</v>
      </c>
      <c r="H22" s="104">
        <f>'P&amp;L'!F25</f>
        <v>36.699000000000012</v>
      </c>
      <c r="I22" s="104">
        <f>'P&amp;L'!G25</f>
        <v>39.872</v>
      </c>
      <c r="J22" s="104">
        <f>'P&amp;L'!H25</f>
        <v>43.037000000000006</v>
      </c>
      <c r="K22" s="104">
        <f>'P&amp;L'!I25</f>
        <v>45.620000000000012</v>
      </c>
      <c r="L22" s="104">
        <f>'P&amp;L'!J25</f>
        <v>48.491000000000007</v>
      </c>
      <c r="M22" s="104">
        <f>'P&amp;L'!K25</f>
        <v>51.099000000000004</v>
      </c>
    </row>
    <row r="23" spans="1:13" x14ac:dyDescent="0.25">
      <c r="A23" s="109" t="s">
        <v>333</v>
      </c>
      <c r="B23" s="108" t="s">
        <v>348</v>
      </c>
      <c r="C23" s="108"/>
      <c r="D23" s="104">
        <f>'P&amp;L'!B16</f>
        <v>120.872</v>
      </c>
      <c r="E23" s="104">
        <f>'P&amp;L'!C16</f>
        <v>134.46719999999999</v>
      </c>
      <c r="F23" s="104">
        <f>'P&amp;L'!D16</f>
        <v>153.99160000000001</v>
      </c>
      <c r="G23" s="104">
        <f>'P&amp;L'!E16</f>
        <v>175.12719999999999</v>
      </c>
      <c r="H23" s="104">
        <f>'P&amp;L'!F16</f>
        <v>197.964</v>
      </c>
      <c r="I23" s="104">
        <f>'P&amp;L'!G16</f>
        <v>222.66720000000001</v>
      </c>
      <c r="J23" s="104">
        <f>'P&amp;L'!H16</f>
        <v>249.34180000000001</v>
      </c>
      <c r="K23" s="104">
        <f>'P&amp;L'!I16</f>
        <v>278.09280000000001</v>
      </c>
      <c r="L23" s="104">
        <f>'P&amp;L'!J16</f>
        <v>309.4581</v>
      </c>
      <c r="M23" s="104">
        <f>'P&amp;L'!K16</f>
        <v>342.52960000000002</v>
      </c>
    </row>
    <row r="24" spans="1:13" hidden="1" x14ac:dyDescent="0.25">
      <c r="A24" s="109" t="s">
        <v>431</v>
      </c>
      <c r="B24" s="108" t="s">
        <v>456</v>
      </c>
      <c r="C24" s="108"/>
      <c r="D24" s="104">
        <f>BS!C45-BS!B45</f>
        <v>0</v>
      </c>
      <c r="E24" s="104">
        <f>BS!D45-BS!C45</f>
        <v>0</v>
      </c>
      <c r="F24" s="104">
        <f>BS!E45-BS!D45</f>
        <v>0</v>
      </c>
      <c r="G24" s="104">
        <f>BS!F45-BS!E45</f>
        <v>0</v>
      </c>
      <c r="H24" s="104">
        <f>BS!G45-BS!F45</f>
        <v>0</v>
      </c>
      <c r="I24" s="104">
        <f>BS!H45-BS!G45</f>
        <v>0</v>
      </c>
      <c r="J24" s="104">
        <f>BS!I45-BS!H45</f>
        <v>0</v>
      </c>
      <c r="K24" s="104">
        <f>BS!J45-BS!I45</f>
        <v>0</v>
      </c>
      <c r="L24" s="104">
        <f>BS!K45-BS!J45</f>
        <v>0</v>
      </c>
      <c r="M24" s="104">
        <f>BS!L45-BS!K45</f>
        <v>0</v>
      </c>
    </row>
    <row r="25" spans="1:13" x14ac:dyDescent="0.25">
      <c r="A25" s="102">
        <v>3</v>
      </c>
      <c r="B25" s="102" t="s">
        <v>338</v>
      </c>
      <c r="C25" s="102"/>
      <c r="D25" s="180">
        <f>BS!B20-BS!C20</f>
        <v>0</v>
      </c>
      <c r="E25" s="180">
        <f>BS!C20-BS!D20</f>
        <v>0</v>
      </c>
      <c r="F25" s="180">
        <f>BS!D20-BS!E20</f>
        <v>0</v>
      </c>
      <c r="G25" s="180">
        <f>BS!E20-BS!F20</f>
        <v>0</v>
      </c>
      <c r="H25" s="180">
        <f>BS!F20-BS!G20</f>
        <v>0</v>
      </c>
      <c r="I25" s="180">
        <f>BS!G20-BS!H20</f>
        <v>0</v>
      </c>
      <c r="J25" s="180">
        <f>BS!H20-BS!I20</f>
        <v>0</v>
      </c>
      <c r="K25" s="180">
        <f>BS!I20-BS!J20</f>
        <v>0</v>
      </c>
      <c r="L25" s="180">
        <f>BS!J20-BS!K20</f>
        <v>0</v>
      </c>
      <c r="M25" s="180">
        <f>BS!K20-BS!L20</f>
        <v>0</v>
      </c>
    </row>
    <row r="26" spans="1:13" x14ac:dyDescent="0.25">
      <c r="A26" s="109" t="s">
        <v>331</v>
      </c>
      <c r="B26" s="108" t="s">
        <v>339</v>
      </c>
      <c r="C26" s="108"/>
      <c r="D26" s="105">
        <f>'P&amp;L'!B30</f>
        <v>0</v>
      </c>
      <c r="E26" s="105">
        <f>'P&amp;L'!C30</f>
        <v>0</v>
      </c>
      <c r="F26" s="105">
        <f>'P&amp;L'!D30</f>
        <v>0</v>
      </c>
      <c r="G26" s="105">
        <f>'P&amp;L'!E30</f>
        <v>0</v>
      </c>
      <c r="H26" s="105">
        <f>'P&amp;L'!F30</f>
        <v>0</v>
      </c>
      <c r="I26" s="105">
        <f>'P&amp;L'!G30</f>
        <v>0</v>
      </c>
      <c r="J26" s="105">
        <f>'P&amp;L'!H30</f>
        <v>0</v>
      </c>
      <c r="K26" s="105">
        <f>'P&amp;L'!I30</f>
        <v>0</v>
      </c>
      <c r="L26" s="105">
        <f>'P&amp;L'!J30</f>
        <v>0</v>
      </c>
      <c r="M26" s="105">
        <f>'P&amp;L'!K30</f>
        <v>0</v>
      </c>
    </row>
    <row r="27" spans="1:13" x14ac:dyDescent="0.25">
      <c r="A27" s="109" t="s">
        <v>332</v>
      </c>
      <c r="B27" s="108" t="s">
        <v>340</v>
      </c>
      <c r="C27" s="108"/>
      <c r="D27" s="105">
        <f>'P&amp;L'!B31</f>
        <v>0.83557940624999982</v>
      </c>
      <c r="E27" s="105">
        <f>'P&amp;L'!C31</f>
        <v>1.1034843890624997</v>
      </c>
      <c r="F27" s="105">
        <f>'P&amp;L'!D31</f>
        <v>1.2775359522656251</v>
      </c>
      <c r="G27" s="105">
        <f>'P&amp;L'!E31</f>
        <v>1.4773702655039058</v>
      </c>
      <c r="H27" s="105">
        <f>'P&amp;L'!F31</f>
        <v>1.6801418412791009</v>
      </c>
      <c r="I27" s="105">
        <f>'P&amp;L'!G31</f>
        <v>1.9235814864680567</v>
      </c>
      <c r="J27" s="105">
        <f>'P&amp;L'!H31</f>
        <v>2.1569714389164596</v>
      </c>
      <c r="K27" s="105">
        <f>'P&amp;L'!I31</f>
        <v>2.4114168764872823</v>
      </c>
      <c r="L27" s="105">
        <f>'P&amp;L'!J31</f>
        <v>2.7669784234366475</v>
      </c>
      <c r="M27" s="105">
        <f>'P&amp;L'!K31</f>
        <v>3.0766758414834787</v>
      </c>
    </row>
    <row r="28" spans="1:13" x14ac:dyDescent="0.25">
      <c r="A28" s="102">
        <v>4</v>
      </c>
      <c r="B28" s="102" t="s">
        <v>341</v>
      </c>
      <c r="C28" s="102"/>
      <c r="D28" s="105">
        <f>BS!C36</f>
        <v>16.490666666666666</v>
      </c>
      <c r="E28" s="105">
        <f>BS!D36-BS!C36</f>
        <v>3.2953833333333336</v>
      </c>
      <c r="F28" s="105">
        <f>BS!E36-BS!D36</f>
        <v>2.9408083333333366</v>
      </c>
      <c r="G28" s="105">
        <f>BS!F36-BS!E36</f>
        <v>3.1048249999999946</v>
      </c>
      <c r="H28" s="105">
        <f>BS!G36-BS!F36</f>
        <v>3.4085583333333354</v>
      </c>
      <c r="I28" s="105">
        <f>BS!H36-BS!G36</f>
        <v>3.6216166666666716</v>
      </c>
      <c r="J28" s="105">
        <f>BS!I36-BS!H36</f>
        <v>3.8444333333333347</v>
      </c>
      <c r="K28" s="105">
        <f>BS!J36-BS!I36</f>
        <v>4.1168333333333322</v>
      </c>
      <c r="L28" s="105">
        <f>BS!K36-BS!J36</f>
        <v>4.3734083333333373</v>
      </c>
      <c r="M28" s="105">
        <f>BS!L36-BS!K36</f>
        <v>4.8642916666666594</v>
      </c>
    </row>
    <row r="29" spans="1:13" x14ac:dyDescent="0.25">
      <c r="A29" s="102"/>
      <c r="B29" s="102"/>
      <c r="C29" s="102"/>
      <c r="D29" s="105"/>
      <c r="E29" s="105"/>
      <c r="F29" s="105"/>
      <c r="G29" s="105"/>
      <c r="H29" s="105"/>
      <c r="I29" s="36"/>
      <c r="J29" s="36"/>
      <c r="K29" s="36"/>
      <c r="L29" s="36"/>
      <c r="M29" s="36"/>
    </row>
    <row r="30" spans="1:13" x14ac:dyDescent="0.25">
      <c r="A30" s="102">
        <v>5</v>
      </c>
      <c r="B30" s="102" t="s">
        <v>342</v>
      </c>
      <c r="C30" s="102"/>
      <c r="D30" s="105">
        <f>'P&amp;L'!B35</f>
        <v>0</v>
      </c>
      <c r="E30" s="105">
        <f>'P&amp;L'!C35</f>
        <v>2.5996616114062552</v>
      </c>
      <c r="F30" s="105">
        <f>'P&amp;L'!D35</f>
        <v>8.2415367518203162</v>
      </c>
      <c r="G30" s="105">
        <f>'P&amp;L'!E35</f>
        <v>12.738550834723803</v>
      </c>
      <c r="H30" s="105">
        <f>'P&amp;L'!F35</f>
        <v>17.422808455210017</v>
      </c>
      <c r="I30" s="105">
        <f>'P&amp;L'!G35</f>
        <v>22.415411477658022</v>
      </c>
      <c r="J30" s="105">
        <f>'P&amp;L'!H35</f>
        <v>27.284403309859695</v>
      </c>
      <c r="K30" s="105">
        <f>'P&amp;L'!I35</f>
        <v>32.683083781535458</v>
      </c>
      <c r="L30" s="105">
        <f>'P&amp;L'!J35</f>
        <v>38.401461525804301</v>
      </c>
      <c r="M30" s="105">
        <f>'P&amp;L'!K35</f>
        <v>44.616847176367813</v>
      </c>
    </row>
    <row r="31" spans="1:13" x14ac:dyDescent="0.25">
      <c r="A31" s="102">
        <v>6</v>
      </c>
      <c r="B31" s="102" t="s">
        <v>343</v>
      </c>
      <c r="C31" s="102"/>
      <c r="D31" s="103"/>
      <c r="E31" s="103"/>
      <c r="F31" s="103"/>
      <c r="G31" s="103"/>
      <c r="H31" s="103"/>
      <c r="I31" s="36"/>
      <c r="J31" s="36"/>
      <c r="K31" s="36"/>
      <c r="L31" s="36"/>
      <c r="M31" s="36"/>
    </row>
    <row r="32" spans="1:13" x14ac:dyDescent="0.25">
      <c r="A32" s="102"/>
      <c r="B32" s="102" t="s">
        <v>344</v>
      </c>
      <c r="C32" s="110">
        <f>SUM(C15:C31)</f>
        <v>312.40649999999999</v>
      </c>
      <c r="D32" s="110">
        <f>SUM(D15:D31)</f>
        <v>191.13079607291667</v>
      </c>
      <c r="E32" s="110">
        <f t="shared" ref="E32:J32" si="1">SUM(E15:E31)</f>
        <v>198.64972683380205</v>
      </c>
      <c r="F32" s="110">
        <f t="shared" si="1"/>
        <v>228.07947841241929</v>
      </c>
      <c r="G32" s="110">
        <f t="shared" si="1"/>
        <v>258.6493433439777</v>
      </c>
      <c r="H32" s="110">
        <f t="shared" si="1"/>
        <v>291.70932573576005</v>
      </c>
      <c r="I32" s="110">
        <f t="shared" si="1"/>
        <v>326.77086759202712</v>
      </c>
      <c r="J32" s="110">
        <f t="shared" si="1"/>
        <v>363.75571894140558</v>
      </c>
      <c r="K32" s="110">
        <f t="shared" ref="K32:M32" si="2">SUM(K15:K31)</f>
        <v>402.92330039361701</v>
      </c>
      <c r="L32" s="110">
        <f t="shared" si="2"/>
        <v>445.4905730049482</v>
      </c>
      <c r="M32" s="110">
        <f t="shared" si="2"/>
        <v>490.2835206430106</v>
      </c>
    </row>
    <row r="33" spans="1:13" x14ac:dyDescent="0.25">
      <c r="A33" s="102"/>
      <c r="B33" s="102" t="s">
        <v>345</v>
      </c>
      <c r="C33" s="110">
        <f t="shared" ref="C33:J33" si="3">C12-C32</f>
        <v>3.0947385416666862</v>
      </c>
      <c r="D33" s="110">
        <f t="shared" si="3"/>
        <v>30.525132052083336</v>
      </c>
      <c r="E33" s="110">
        <f t="shared" si="3"/>
        <v>43.246815822447957</v>
      </c>
      <c r="F33" s="110">
        <f t="shared" si="3"/>
        <v>48.574094501643231</v>
      </c>
      <c r="G33" s="110">
        <f t="shared" si="3"/>
        <v>55.69365456995456</v>
      </c>
      <c r="H33" s="110">
        <f t="shared" si="3"/>
        <v>63.749026761368839</v>
      </c>
      <c r="I33" s="110">
        <f t="shared" si="3"/>
        <v>72.744020759124908</v>
      </c>
      <c r="J33" s="110">
        <f t="shared" si="3"/>
        <v>81.951307160637441</v>
      </c>
      <c r="K33" s="110">
        <f t="shared" ref="K33:M33" si="4">K12-K32</f>
        <v>92.551542430194786</v>
      </c>
      <c r="L33" s="110">
        <f t="shared" si="4"/>
        <v>103.83824071005421</v>
      </c>
      <c r="M33" s="110">
        <f t="shared" si="4"/>
        <v>117.03554354940849</v>
      </c>
    </row>
    <row r="34" spans="1:13" x14ac:dyDescent="0.25">
      <c r="A34" s="111"/>
      <c r="B34" s="108" t="s">
        <v>346</v>
      </c>
      <c r="C34" s="108"/>
      <c r="D34" s="105">
        <f>C35</f>
        <v>3.0947385416666862</v>
      </c>
      <c r="E34" s="105">
        <f>D35</f>
        <v>33.619870593750022</v>
      </c>
      <c r="F34" s="105">
        <f t="shared" ref="F34:J34" si="5">E35</f>
        <v>76.866686416197979</v>
      </c>
      <c r="G34" s="105">
        <f t="shared" si="5"/>
        <v>125.44078091784121</v>
      </c>
      <c r="H34" s="105">
        <f t="shared" si="5"/>
        <v>181.13443548779577</v>
      </c>
      <c r="I34" s="105">
        <f t="shared" si="5"/>
        <v>244.88346224916461</v>
      </c>
      <c r="J34" s="105">
        <f t="shared" si="5"/>
        <v>317.62748300828952</v>
      </c>
      <c r="K34" s="105">
        <f t="shared" ref="K34" si="6">J35</f>
        <v>399.57879016892696</v>
      </c>
      <c r="L34" s="105">
        <f t="shared" ref="L34" si="7">K35</f>
        <v>492.13033259912174</v>
      </c>
      <c r="M34" s="105">
        <f t="shared" ref="M34" si="8">L35</f>
        <v>595.96857330917601</v>
      </c>
    </row>
    <row r="35" spans="1:13" x14ac:dyDescent="0.25">
      <c r="A35" s="102"/>
      <c r="B35" s="112" t="s">
        <v>347</v>
      </c>
      <c r="C35" s="110">
        <f>C33+C34</f>
        <v>3.0947385416666862</v>
      </c>
      <c r="D35" s="110">
        <f>D33+D34</f>
        <v>33.619870593750022</v>
      </c>
      <c r="E35" s="110">
        <f t="shared" ref="E35:J35" si="9">E33+E34</f>
        <v>76.866686416197979</v>
      </c>
      <c r="F35" s="110">
        <f t="shared" si="9"/>
        <v>125.44078091784121</v>
      </c>
      <c r="G35" s="110">
        <f t="shared" si="9"/>
        <v>181.13443548779577</v>
      </c>
      <c r="H35" s="110">
        <f t="shared" si="9"/>
        <v>244.88346224916461</v>
      </c>
      <c r="I35" s="110">
        <f t="shared" si="9"/>
        <v>317.62748300828952</v>
      </c>
      <c r="J35" s="110">
        <f t="shared" si="9"/>
        <v>399.57879016892696</v>
      </c>
      <c r="K35" s="110">
        <f t="shared" ref="K35:M35" si="10">K33+K34</f>
        <v>492.13033259912174</v>
      </c>
      <c r="L35" s="110">
        <f t="shared" si="10"/>
        <v>595.96857330917601</v>
      </c>
      <c r="M35" s="110">
        <f t="shared" si="10"/>
        <v>713.00411685858444</v>
      </c>
    </row>
    <row r="37" spans="1:13" x14ac:dyDescent="0.25">
      <c r="C37" s="113">
        <f>BS!B47</f>
        <v>3.0947385416666862</v>
      </c>
      <c r="D37" s="113">
        <f>BS!C47</f>
        <v>33.619870593750022</v>
      </c>
      <c r="E37" s="113">
        <f>BS!D47</f>
        <v>76.866686416197979</v>
      </c>
      <c r="F37" s="113">
        <f>BS!E47</f>
        <v>125.44078091784121</v>
      </c>
      <c r="G37" s="113">
        <f>BS!F47</f>
        <v>181.13443548779577</v>
      </c>
      <c r="H37" s="113">
        <f>BS!G47</f>
        <v>244.88346224916461</v>
      </c>
      <c r="I37" s="113">
        <f>BS!H47</f>
        <v>317.62748300828952</v>
      </c>
      <c r="J37" s="113">
        <f>BS!I47</f>
        <v>399.57879016892696</v>
      </c>
      <c r="K37" s="113">
        <f>BS!J47</f>
        <v>492.13033259912174</v>
      </c>
      <c r="L37" s="113">
        <f>BS!K47</f>
        <v>595.96857330917601</v>
      </c>
      <c r="M37" s="113">
        <f>BS!L47</f>
        <v>713.00411685858444</v>
      </c>
    </row>
    <row r="38" spans="1:13" x14ac:dyDescent="0.25">
      <c r="D38" s="113"/>
    </row>
    <row r="39" spans="1:13" x14ac:dyDescent="0.25">
      <c r="C39" s="113">
        <f>C35-C37</f>
        <v>0</v>
      </c>
      <c r="D39" s="113">
        <f>D35-D37</f>
        <v>0</v>
      </c>
      <c r="E39" s="113">
        <f t="shared" ref="E39:J39" si="11">E35-E37</f>
        <v>0</v>
      </c>
      <c r="F39" s="113">
        <f t="shared" si="11"/>
        <v>0</v>
      </c>
      <c r="G39" s="113">
        <f t="shared" si="11"/>
        <v>0</v>
      </c>
      <c r="H39" s="113">
        <f t="shared" si="11"/>
        <v>0</v>
      </c>
      <c r="I39" s="113">
        <f t="shared" si="11"/>
        <v>0</v>
      </c>
      <c r="J39" s="113">
        <f t="shared" si="11"/>
        <v>0</v>
      </c>
      <c r="K39" s="113">
        <f t="shared" ref="K39:M39" si="12">K35-K37</f>
        <v>0</v>
      </c>
      <c r="L39" s="113">
        <f t="shared" si="12"/>
        <v>0</v>
      </c>
      <c r="M39" s="113">
        <f t="shared" si="12"/>
        <v>0</v>
      </c>
    </row>
    <row r="40" spans="1:13" x14ac:dyDescent="0.25">
      <c r="D40" s="114"/>
      <c r="E40" s="113"/>
      <c r="F40" s="113"/>
      <c r="G40" s="113"/>
      <c r="H40" s="113"/>
      <c r="I40" s="113"/>
      <c r="J40" s="113"/>
    </row>
    <row r="41" spans="1:13" x14ac:dyDescent="0.25">
      <c r="D41" s="113"/>
      <c r="E41" s="113"/>
      <c r="F41" s="113"/>
      <c r="G41" s="113"/>
      <c r="H41" s="113"/>
    </row>
  </sheetData>
  <mergeCells count="2">
    <mergeCell ref="A1:J1"/>
    <mergeCell ref="A13:B13"/>
  </mergeCells>
  <pageMargins left="0.7" right="0.7" top="0.75" bottom="0.75" header="0.3" footer="0.3"/>
  <pageSetup scale="5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"/>
  <sheetViews>
    <sheetView workbookViewId="0">
      <selection activeCell="F26" sqref="F26"/>
    </sheetView>
  </sheetViews>
  <sheetFormatPr defaultRowHeight="15" x14ac:dyDescent="0.25"/>
  <cols>
    <col min="1" max="1" width="18.140625" customWidth="1"/>
  </cols>
  <sheetData>
    <row r="2" spans="1:9" x14ac:dyDescent="0.25">
      <c r="A2" s="16" t="s">
        <v>1</v>
      </c>
      <c r="B2" s="16" t="s">
        <v>445</v>
      </c>
      <c r="C2" s="16" t="s">
        <v>36</v>
      </c>
      <c r="D2" s="16" t="s">
        <v>37</v>
      </c>
      <c r="E2" s="16" t="s">
        <v>38</v>
      </c>
      <c r="F2" s="16" t="s">
        <v>39</v>
      </c>
      <c r="G2" s="16" t="s">
        <v>40</v>
      </c>
      <c r="H2" s="16" t="s">
        <v>41</v>
      </c>
      <c r="I2" s="16" t="s">
        <v>42</v>
      </c>
    </row>
    <row r="3" spans="1:9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6" t="s">
        <v>50</v>
      </c>
      <c r="B4" s="6">
        <v>0</v>
      </c>
      <c r="C4" s="19">
        <f>B7</f>
        <v>0</v>
      </c>
      <c r="D4" s="19">
        <f t="shared" ref="D4:H4" si="0">C7</f>
        <v>0</v>
      </c>
      <c r="E4" s="19">
        <f t="shared" si="0"/>
        <v>0</v>
      </c>
      <c r="F4" s="19">
        <f t="shared" si="0"/>
        <v>0</v>
      </c>
      <c r="G4" s="19">
        <f t="shared" si="0"/>
        <v>0</v>
      </c>
      <c r="H4" s="19">
        <f t="shared" si="0"/>
        <v>0</v>
      </c>
      <c r="I4" s="9">
        <v>0</v>
      </c>
    </row>
    <row r="5" spans="1:9" x14ac:dyDescent="0.25">
      <c r="A5" s="6" t="s">
        <v>446</v>
      </c>
      <c r="B5" s="19">
        <f>Interest!H19</f>
        <v>0</v>
      </c>
      <c r="C5" s="19">
        <f>Interest!H31</f>
        <v>0</v>
      </c>
      <c r="D5" s="19">
        <f>Interest!H43</f>
        <v>0</v>
      </c>
      <c r="E5" s="19">
        <f>Interest!H55</f>
        <v>0</v>
      </c>
      <c r="F5" s="19">
        <f>Interest!H67</f>
        <v>0</v>
      </c>
      <c r="G5" s="19">
        <f>Interest!H79</f>
        <v>0</v>
      </c>
      <c r="H5" s="19">
        <f>Interest!H91</f>
        <v>0</v>
      </c>
      <c r="I5" s="9">
        <v>0</v>
      </c>
    </row>
    <row r="6" spans="1:9" x14ac:dyDescent="0.25">
      <c r="A6" s="6" t="s">
        <v>447</v>
      </c>
      <c r="B6" s="19">
        <f>Interest!I19</f>
        <v>0</v>
      </c>
      <c r="C6" s="19">
        <f>Interest!I31</f>
        <v>0</v>
      </c>
      <c r="D6" s="19">
        <f>Interest!I43</f>
        <v>0</v>
      </c>
      <c r="E6" s="19">
        <f>Interest!I55</f>
        <v>0</v>
      </c>
      <c r="F6" s="19">
        <f>Interest!I67</f>
        <v>0</v>
      </c>
      <c r="G6" s="19">
        <f>Interest!I79</f>
        <v>0</v>
      </c>
      <c r="H6" s="19">
        <f>Interest!I91</f>
        <v>0</v>
      </c>
      <c r="I6" s="9">
        <v>0</v>
      </c>
    </row>
    <row r="7" spans="1:9" x14ac:dyDescent="0.25">
      <c r="A7" s="6" t="s">
        <v>448</v>
      </c>
      <c r="B7" s="19">
        <f>Interest!G19</f>
        <v>0</v>
      </c>
      <c r="C7" s="19">
        <f>C4-C6</f>
        <v>0</v>
      </c>
      <c r="D7" s="19">
        <f t="shared" ref="D7:I7" si="1">D4-D6</f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  <c r="H7" s="9">
        <v>0</v>
      </c>
      <c r="I7" s="9">
        <f t="shared" si="1"/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76" workbookViewId="0">
      <selection activeCell="D8" sqref="D8"/>
    </sheetView>
  </sheetViews>
  <sheetFormatPr defaultRowHeight="15" x14ac:dyDescent="0.25"/>
  <cols>
    <col min="1" max="1" width="6.28515625" style="1" bestFit="1" customWidth="1"/>
    <col min="2" max="2" width="10.28515625" style="1" customWidth="1"/>
    <col min="3" max="3" width="16" style="1" bestFit="1" customWidth="1"/>
    <col min="4" max="4" width="8.42578125" style="1" bestFit="1" customWidth="1"/>
    <col min="5" max="5" width="20" style="1" bestFit="1" customWidth="1"/>
    <col min="6" max="6" width="5.5703125" style="1" bestFit="1" customWidth="1"/>
    <col min="7" max="7" width="19" style="1" bestFit="1" customWidth="1"/>
    <col min="8" max="9" width="6.5703125" style="1" bestFit="1" customWidth="1"/>
    <col min="10" max="16384" width="9.140625" style="1"/>
  </cols>
  <sheetData>
    <row r="1" spans="1:9" x14ac:dyDescent="0.25">
      <c r="B1" s="350"/>
      <c r="C1" s="350"/>
      <c r="D1" s="350"/>
      <c r="E1" s="350"/>
      <c r="F1" s="350"/>
      <c r="G1" s="350"/>
      <c r="H1" s="78"/>
      <c r="I1" s="78"/>
    </row>
    <row r="2" spans="1:9" ht="15.75" thickBot="1" x14ac:dyDescent="0.3"/>
    <row r="3" spans="1:9" ht="15.75" thickBot="1" x14ac:dyDescent="0.3">
      <c r="B3" s="351" t="s">
        <v>191</v>
      </c>
      <c r="C3" s="352"/>
      <c r="D3" s="352"/>
      <c r="E3" s="352"/>
      <c r="F3" s="352"/>
      <c r="G3" s="353"/>
    </row>
    <row r="4" spans="1:9" x14ac:dyDescent="0.25">
      <c r="B4" s="97"/>
      <c r="C4" s="97"/>
      <c r="D4" s="97"/>
      <c r="E4" s="97"/>
      <c r="F4" s="97"/>
      <c r="G4" s="97"/>
    </row>
    <row r="5" spans="1:9" x14ac:dyDescent="0.25">
      <c r="B5" s="97"/>
      <c r="C5" s="97" t="s">
        <v>192</v>
      </c>
      <c r="D5" s="98">
        <v>0.09</v>
      </c>
      <c r="E5" s="97"/>
      <c r="F5" s="97"/>
      <c r="G5" s="97"/>
    </row>
    <row r="6" spans="1:9" x14ac:dyDescent="0.25">
      <c r="B6" s="97"/>
      <c r="C6" s="97"/>
      <c r="D6" s="99"/>
      <c r="E6" s="97"/>
      <c r="F6" s="97"/>
      <c r="G6" s="97" t="s">
        <v>193</v>
      </c>
    </row>
    <row r="7" spans="1:9" x14ac:dyDescent="0.25">
      <c r="B7" s="15" t="s">
        <v>194</v>
      </c>
      <c r="C7" s="100" t="s">
        <v>45</v>
      </c>
      <c r="D7" s="100" t="s">
        <v>195</v>
      </c>
      <c r="E7" s="100" t="s">
        <v>196</v>
      </c>
      <c r="F7" s="100" t="s">
        <v>197</v>
      </c>
      <c r="G7" s="100" t="s">
        <v>198</v>
      </c>
    </row>
    <row r="8" spans="1:9" x14ac:dyDescent="0.25">
      <c r="A8" s="1" t="s">
        <v>199</v>
      </c>
      <c r="B8" s="6" t="s">
        <v>200</v>
      </c>
      <c r="C8" s="19">
        <f>'Project Glance'!B21/4</f>
        <v>0</v>
      </c>
      <c r="D8" s="19">
        <f t="shared" ref="D8:D71" si="0">C8*$D$5/12</f>
        <v>0</v>
      </c>
      <c r="E8" s="19"/>
      <c r="F8" s="19">
        <f>D8</f>
        <v>0</v>
      </c>
      <c r="G8" s="19">
        <f>C8-E8</f>
        <v>0</v>
      </c>
    </row>
    <row r="9" spans="1:9" x14ac:dyDescent="0.25">
      <c r="B9" s="6" t="s">
        <v>201</v>
      </c>
      <c r="C9" s="19">
        <f>G8</f>
        <v>0</v>
      </c>
      <c r="D9" s="19">
        <f t="shared" si="0"/>
        <v>0</v>
      </c>
      <c r="E9" s="19"/>
      <c r="F9" s="19">
        <f>F8</f>
        <v>0</v>
      </c>
      <c r="G9" s="19">
        <f t="shared" ref="G9:G72" si="1">C9-E9</f>
        <v>0</v>
      </c>
    </row>
    <row r="10" spans="1:9" x14ac:dyDescent="0.25">
      <c r="B10" s="6" t="s">
        <v>202</v>
      </c>
      <c r="C10" s="19">
        <f t="shared" ref="C10:C73" si="2">G9</f>
        <v>0</v>
      </c>
      <c r="D10" s="19">
        <f t="shared" si="0"/>
        <v>0</v>
      </c>
      <c r="E10" s="19"/>
      <c r="F10" s="19">
        <f t="shared" ref="F10:F19" si="3">F9</f>
        <v>0</v>
      </c>
      <c r="G10" s="19">
        <f t="shared" si="1"/>
        <v>0</v>
      </c>
    </row>
    <row r="11" spans="1:9" x14ac:dyDescent="0.25">
      <c r="B11" s="6" t="s">
        <v>203</v>
      </c>
      <c r="C11" s="19">
        <f>G10+'Project Glance'!B21/4</f>
        <v>0</v>
      </c>
      <c r="D11" s="19">
        <f t="shared" si="0"/>
        <v>0</v>
      </c>
      <c r="E11" s="19"/>
      <c r="F11" s="19">
        <f t="shared" si="3"/>
        <v>0</v>
      </c>
      <c r="G11" s="19">
        <f t="shared" si="1"/>
        <v>0</v>
      </c>
    </row>
    <row r="12" spans="1:9" x14ac:dyDescent="0.25">
      <c r="B12" s="6" t="s">
        <v>204</v>
      </c>
      <c r="C12" s="19">
        <f t="shared" si="2"/>
        <v>0</v>
      </c>
      <c r="D12" s="19">
        <f t="shared" si="0"/>
        <v>0</v>
      </c>
      <c r="E12" s="19"/>
      <c r="F12" s="19">
        <f t="shared" si="3"/>
        <v>0</v>
      </c>
      <c r="G12" s="19">
        <f t="shared" si="1"/>
        <v>0</v>
      </c>
    </row>
    <row r="13" spans="1:9" x14ac:dyDescent="0.25">
      <c r="B13" s="6" t="s">
        <v>205</v>
      </c>
      <c r="C13" s="19">
        <f t="shared" si="2"/>
        <v>0</v>
      </c>
      <c r="D13" s="19">
        <f t="shared" si="0"/>
        <v>0</v>
      </c>
      <c r="E13" s="19"/>
      <c r="F13" s="19">
        <f t="shared" si="3"/>
        <v>0</v>
      </c>
      <c r="G13" s="19">
        <f t="shared" si="1"/>
        <v>0</v>
      </c>
    </row>
    <row r="14" spans="1:9" x14ac:dyDescent="0.25">
      <c r="B14" s="6" t="s">
        <v>206</v>
      </c>
      <c r="C14" s="19">
        <f>G13+'Project Glance'!B21/4</f>
        <v>0</v>
      </c>
      <c r="D14" s="19">
        <f t="shared" si="0"/>
        <v>0</v>
      </c>
      <c r="E14" s="19"/>
      <c r="F14" s="19">
        <f t="shared" si="3"/>
        <v>0</v>
      </c>
      <c r="G14" s="19">
        <f t="shared" si="1"/>
        <v>0</v>
      </c>
    </row>
    <row r="15" spans="1:9" x14ac:dyDescent="0.25">
      <c r="B15" s="6" t="s">
        <v>207</v>
      </c>
      <c r="C15" s="19">
        <f t="shared" si="2"/>
        <v>0</v>
      </c>
      <c r="D15" s="19">
        <f t="shared" si="0"/>
        <v>0</v>
      </c>
      <c r="E15" s="19"/>
      <c r="F15" s="19">
        <f t="shared" si="3"/>
        <v>0</v>
      </c>
      <c r="G15" s="19">
        <f t="shared" si="1"/>
        <v>0</v>
      </c>
    </row>
    <row r="16" spans="1:9" x14ac:dyDescent="0.25">
      <c r="B16" s="6" t="s">
        <v>208</v>
      </c>
      <c r="C16" s="19">
        <f t="shared" si="2"/>
        <v>0</v>
      </c>
      <c r="D16" s="19">
        <f t="shared" si="0"/>
        <v>0</v>
      </c>
      <c r="E16" s="19"/>
      <c r="F16" s="19">
        <f t="shared" si="3"/>
        <v>0</v>
      </c>
      <c r="G16" s="19">
        <f t="shared" si="1"/>
        <v>0</v>
      </c>
    </row>
    <row r="17" spans="1:9" x14ac:dyDescent="0.25">
      <c r="B17" s="6" t="s">
        <v>209</v>
      </c>
      <c r="C17" s="19">
        <f>G16+'Project Glance'!B21/4</f>
        <v>0</v>
      </c>
      <c r="D17" s="19">
        <f t="shared" si="0"/>
        <v>0</v>
      </c>
      <c r="E17" s="19"/>
      <c r="F17" s="19">
        <f t="shared" si="3"/>
        <v>0</v>
      </c>
      <c r="G17" s="19">
        <f t="shared" si="1"/>
        <v>0</v>
      </c>
    </row>
    <row r="18" spans="1:9" x14ac:dyDescent="0.25">
      <c r="B18" s="6" t="s">
        <v>210</v>
      </c>
      <c r="C18" s="19">
        <f t="shared" si="2"/>
        <v>0</v>
      </c>
      <c r="D18" s="19">
        <f t="shared" si="0"/>
        <v>0</v>
      </c>
      <c r="E18" s="19"/>
      <c r="F18" s="19">
        <f t="shared" si="3"/>
        <v>0</v>
      </c>
      <c r="G18" s="19">
        <f t="shared" si="1"/>
        <v>0</v>
      </c>
    </row>
    <row r="19" spans="1:9" x14ac:dyDescent="0.25">
      <c r="B19" s="6" t="s">
        <v>211</v>
      </c>
      <c r="C19" s="19">
        <f t="shared" si="2"/>
        <v>0</v>
      </c>
      <c r="D19" s="19">
        <f t="shared" si="0"/>
        <v>0</v>
      </c>
      <c r="E19" s="19"/>
      <c r="F19" s="19">
        <f t="shared" si="3"/>
        <v>0</v>
      </c>
      <c r="G19" s="19">
        <f t="shared" si="1"/>
        <v>0</v>
      </c>
      <c r="H19" s="13">
        <f>SUM(D8:D19)</f>
        <v>0</v>
      </c>
      <c r="I19" s="13">
        <f>SUM(E8:E19)</f>
        <v>0</v>
      </c>
    </row>
    <row r="20" spans="1:9" x14ac:dyDescent="0.25">
      <c r="A20" s="1" t="s">
        <v>212</v>
      </c>
      <c r="B20" s="6" t="s">
        <v>213</v>
      </c>
      <c r="C20" s="19">
        <f t="shared" si="2"/>
        <v>0</v>
      </c>
      <c r="D20" s="19">
        <f t="shared" si="0"/>
        <v>0</v>
      </c>
      <c r="E20" s="19">
        <f>C20/72</f>
        <v>0</v>
      </c>
      <c r="F20" s="19">
        <f>D20+E20</f>
        <v>0</v>
      </c>
      <c r="G20" s="19">
        <f t="shared" si="1"/>
        <v>0</v>
      </c>
    </row>
    <row r="21" spans="1:9" x14ac:dyDescent="0.25">
      <c r="B21" s="6" t="s">
        <v>214</v>
      </c>
      <c r="C21" s="19">
        <f t="shared" si="2"/>
        <v>0</v>
      </c>
      <c r="D21" s="19">
        <f t="shared" si="0"/>
        <v>0</v>
      </c>
      <c r="E21" s="19">
        <f>$E$20</f>
        <v>0</v>
      </c>
      <c r="F21" s="19">
        <f t="shared" ref="F21:F84" si="4">D21+E21</f>
        <v>0</v>
      </c>
      <c r="G21" s="19">
        <f t="shared" si="1"/>
        <v>0</v>
      </c>
    </row>
    <row r="22" spans="1:9" x14ac:dyDescent="0.25">
      <c r="B22" s="6" t="s">
        <v>215</v>
      </c>
      <c r="C22" s="19">
        <f t="shared" si="2"/>
        <v>0</v>
      </c>
      <c r="D22" s="19">
        <f t="shared" si="0"/>
        <v>0</v>
      </c>
      <c r="E22" s="19">
        <f t="shared" ref="E22:E85" si="5">$E$20</f>
        <v>0</v>
      </c>
      <c r="F22" s="19">
        <f t="shared" si="4"/>
        <v>0</v>
      </c>
      <c r="G22" s="19">
        <f t="shared" si="1"/>
        <v>0</v>
      </c>
    </row>
    <row r="23" spans="1:9" x14ac:dyDescent="0.25">
      <c r="B23" s="6" t="s">
        <v>216</v>
      </c>
      <c r="C23" s="19">
        <f t="shared" si="2"/>
        <v>0</v>
      </c>
      <c r="D23" s="19">
        <f t="shared" si="0"/>
        <v>0</v>
      </c>
      <c r="E23" s="19">
        <f t="shared" si="5"/>
        <v>0</v>
      </c>
      <c r="F23" s="19">
        <f t="shared" si="4"/>
        <v>0</v>
      </c>
      <c r="G23" s="19">
        <f t="shared" si="1"/>
        <v>0</v>
      </c>
    </row>
    <row r="24" spans="1:9" x14ac:dyDescent="0.25">
      <c r="B24" s="6" t="s">
        <v>217</v>
      </c>
      <c r="C24" s="19">
        <f t="shared" si="2"/>
        <v>0</v>
      </c>
      <c r="D24" s="19">
        <f t="shared" si="0"/>
        <v>0</v>
      </c>
      <c r="E24" s="19">
        <f t="shared" si="5"/>
        <v>0</v>
      </c>
      <c r="F24" s="19">
        <f t="shared" si="4"/>
        <v>0</v>
      </c>
      <c r="G24" s="19">
        <f t="shared" si="1"/>
        <v>0</v>
      </c>
    </row>
    <row r="25" spans="1:9" x14ac:dyDescent="0.25">
      <c r="B25" s="6" t="s">
        <v>218</v>
      </c>
      <c r="C25" s="19">
        <f t="shared" si="2"/>
        <v>0</v>
      </c>
      <c r="D25" s="19">
        <f t="shared" si="0"/>
        <v>0</v>
      </c>
      <c r="E25" s="19">
        <f t="shared" si="5"/>
        <v>0</v>
      </c>
      <c r="F25" s="19">
        <f t="shared" si="4"/>
        <v>0</v>
      </c>
      <c r="G25" s="19">
        <f t="shared" si="1"/>
        <v>0</v>
      </c>
    </row>
    <row r="26" spans="1:9" x14ac:dyDescent="0.25">
      <c r="B26" s="6" t="s">
        <v>219</v>
      </c>
      <c r="C26" s="19">
        <f t="shared" si="2"/>
        <v>0</v>
      </c>
      <c r="D26" s="19">
        <f t="shared" si="0"/>
        <v>0</v>
      </c>
      <c r="E26" s="19">
        <f t="shared" si="5"/>
        <v>0</v>
      </c>
      <c r="F26" s="19">
        <f t="shared" si="4"/>
        <v>0</v>
      </c>
      <c r="G26" s="19">
        <f t="shared" si="1"/>
        <v>0</v>
      </c>
    </row>
    <row r="27" spans="1:9" x14ac:dyDescent="0.25">
      <c r="B27" s="6" t="s">
        <v>220</v>
      </c>
      <c r="C27" s="19">
        <f t="shared" si="2"/>
        <v>0</v>
      </c>
      <c r="D27" s="19">
        <f t="shared" si="0"/>
        <v>0</v>
      </c>
      <c r="E27" s="19">
        <f t="shared" si="5"/>
        <v>0</v>
      </c>
      <c r="F27" s="19">
        <f t="shared" si="4"/>
        <v>0</v>
      </c>
      <c r="G27" s="19">
        <f t="shared" si="1"/>
        <v>0</v>
      </c>
    </row>
    <row r="28" spans="1:9" x14ac:dyDescent="0.25">
      <c r="B28" s="6" t="s">
        <v>221</v>
      </c>
      <c r="C28" s="19">
        <f t="shared" si="2"/>
        <v>0</v>
      </c>
      <c r="D28" s="19">
        <f t="shared" si="0"/>
        <v>0</v>
      </c>
      <c r="E28" s="19">
        <f t="shared" si="5"/>
        <v>0</v>
      </c>
      <c r="F28" s="19">
        <f t="shared" si="4"/>
        <v>0</v>
      </c>
      <c r="G28" s="19">
        <f t="shared" si="1"/>
        <v>0</v>
      </c>
    </row>
    <row r="29" spans="1:9" x14ac:dyDescent="0.25">
      <c r="B29" s="6" t="s">
        <v>222</v>
      </c>
      <c r="C29" s="19">
        <f t="shared" si="2"/>
        <v>0</v>
      </c>
      <c r="D29" s="19">
        <f t="shared" si="0"/>
        <v>0</v>
      </c>
      <c r="E29" s="19">
        <f t="shared" si="5"/>
        <v>0</v>
      </c>
      <c r="F29" s="19">
        <f t="shared" si="4"/>
        <v>0</v>
      </c>
      <c r="G29" s="19">
        <f t="shared" si="1"/>
        <v>0</v>
      </c>
    </row>
    <row r="30" spans="1:9" x14ac:dyDescent="0.25">
      <c r="B30" s="6" t="s">
        <v>223</v>
      </c>
      <c r="C30" s="19">
        <f t="shared" si="2"/>
        <v>0</v>
      </c>
      <c r="D30" s="19">
        <f t="shared" si="0"/>
        <v>0</v>
      </c>
      <c r="E30" s="19">
        <f t="shared" si="5"/>
        <v>0</v>
      </c>
      <c r="F30" s="19">
        <f t="shared" si="4"/>
        <v>0</v>
      </c>
      <c r="G30" s="19">
        <f t="shared" si="1"/>
        <v>0</v>
      </c>
    </row>
    <row r="31" spans="1:9" x14ac:dyDescent="0.25">
      <c r="B31" s="6" t="s">
        <v>224</v>
      </c>
      <c r="C31" s="19">
        <f t="shared" si="2"/>
        <v>0</v>
      </c>
      <c r="D31" s="19">
        <f t="shared" si="0"/>
        <v>0</v>
      </c>
      <c r="E31" s="19">
        <f t="shared" si="5"/>
        <v>0</v>
      </c>
      <c r="F31" s="19">
        <f t="shared" si="4"/>
        <v>0</v>
      </c>
      <c r="G31" s="19">
        <f t="shared" si="1"/>
        <v>0</v>
      </c>
      <c r="H31" s="13">
        <f>SUM(D20:D31)</f>
        <v>0</v>
      </c>
      <c r="I31" s="13">
        <f>SUM(E20:E31)</f>
        <v>0</v>
      </c>
    </row>
    <row r="32" spans="1:9" x14ac:dyDescent="0.25">
      <c r="A32" s="1" t="s">
        <v>225</v>
      </c>
      <c r="B32" s="6" t="s">
        <v>226</v>
      </c>
      <c r="C32" s="19">
        <f t="shared" si="2"/>
        <v>0</v>
      </c>
      <c r="D32" s="19">
        <f t="shared" si="0"/>
        <v>0</v>
      </c>
      <c r="E32" s="19">
        <f t="shared" si="5"/>
        <v>0</v>
      </c>
      <c r="F32" s="19">
        <f t="shared" si="4"/>
        <v>0</v>
      </c>
      <c r="G32" s="19">
        <f t="shared" si="1"/>
        <v>0</v>
      </c>
    </row>
    <row r="33" spans="1:9" x14ac:dyDescent="0.25">
      <c r="B33" s="6" t="s">
        <v>227</v>
      </c>
      <c r="C33" s="19">
        <f t="shared" si="2"/>
        <v>0</v>
      </c>
      <c r="D33" s="19">
        <f t="shared" si="0"/>
        <v>0</v>
      </c>
      <c r="E33" s="19">
        <f t="shared" si="5"/>
        <v>0</v>
      </c>
      <c r="F33" s="19">
        <f t="shared" si="4"/>
        <v>0</v>
      </c>
      <c r="G33" s="19">
        <f t="shared" si="1"/>
        <v>0</v>
      </c>
    </row>
    <row r="34" spans="1:9" x14ac:dyDescent="0.25">
      <c r="B34" s="6" t="s">
        <v>228</v>
      </c>
      <c r="C34" s="19">
        <f t="shared" si="2"/>
        <v>0</v>
      </c>
      <c r="D34" s="19">
        <f t="shared" si="0"/>
        <v>0</v>
      </c>
      <c r="E34" s="19">
        <f t="shared" si="5"/>
        <v>0</v>
      </c>
      <c r="F34" s="19">
        <f t="shared" si="4"/>
        <v>0</v>
      </c>
      <c r="G34" s="19">
        <f t="shared" si="1"/>
        <v>0</v>
      </c>
    </row>
    <row r="35" spans="1:9" x14ac:dyDescent="0.25">
      <c r="B35" s="6" t="s">
        <v>229</v>
      </c>
      <c r="C35" s="19">
        <f t="shared" si="2"/>
        <v>0</v>
      </c>
      <c r="D35" s="19">
        <f t="shared" si="0"/>
        <v>0</v>
      </c>
      <c r="E35" s="19">
        <f t="shared" si="5"/>
        <v>0</v>
      </c>
      <c r="F35" s="19">
        <f t="shared" si="4"/>
        <v>0</v>
      </c>
      <c r="G35" s="19">
        <f t="shared" si="1"/>
        <v>0</v>
      </c>
    </row>
    <row r="36" spans="1:9" x14ac:dyDescent="0.25">
      <c r="B36" s="6" t="s">
        <v>230</v>
      </c>
      <c r="C36" s="19">
        <f t="shared" si="2"/>
        <v>0</v>
      </c>
      <c r="D36" s="19">
        <f t="shared" si="0"/>
        <v>0</v>
      </c>
      <c r="E36" s="19">
        <f t="shared" si="5"/>
        <v>0</v>
      </c>
      <c r="F36" s="19">
        <f t="shared" si="4"/>
        <v>0</v>
      </c>
      <c r="G36" s="19">
        <f t="shared" si="1"/>
        <v>0</v>
      </c>
    </row>
    <row r="37" spans="1:9" x14ac:dyDescent="0.25">
      <c r="B37" s="6" t="s">
        <v>231</v>
      </c>
      <c r="C37" s="19">
        <f t="shared" si="2"/>
        <v>0</v>
      </c>
      <c r="D37" s="19">
        <f t="shared" si="0"/>
        <v>0</v>
      </c>
      <c r="E37" s="19">
        <f t="shared" si="5"/>
        <v>0</v>
      </c>
      <c r="F37" s="19">
        <f t="shared" si="4"/>
        <v>0</v>
      </c>
      <c r="G37" s="19">
        <f t="shared" si="1"/>
        <v>0</v>
      </c>
    </row>
    <row r="38" spans="1:9" x14ac:dyDescent="0.25">
      <c r="B38" s="6" t="s">
        <v>232</v>
      </c>
      <c r="C38" s="19">
        <f t="shared" si="2"/>
        <v>0</v>
      </c>
      <c r="D38" s="19">
        <f t="shared" si="0"/>
        <v>0</v>
      </c>
      <c r="E38" s="19">
        <f t="shared" si="5"/>
        <v>0</v>
      </c>
      <c r="F38" s="19">
        <f t="shared" si="4"/>
        <v>0</v>
      </c>
      <c r="G38" s="19">
        <f t="shared" si="1"/>
        <v>0</v>
      </c>
    </row>
    <row r="39" spans="1:9" x14ac:dyDescent="0.25">
      <c r="B39" s="6" t="s">
        <v>233</v>
      </c>
      <c r="C39" s="19">
        <f t="shared" si="2"/>
        <v>0</v>
      </c>
      <c r="D39" s="19">
        <f t="shared" si="0"/>
        <v>0</v>
      </c>
      <c r="E39" s="19">
        <f t="shared" si="5"/>
        <v>0</v>
      </c>
      <c r="F39" s="19">
        <f t="shared" si="4"/>
        <v>0</v>
      </c>
      <c r="G39" s="19">
        <f t="shared" si="1"/>
        <v>0</v>
      </c>
    </row>
    <row r="40" spans="1:9" x14ac:dyDescent="0.25">
      <c r="B40" s="6" t="s">
        <v>234</v>
      </c>
      <c r="C40" s="19">
        <f t="shared" si="2"/>
        <v>0</v>
      </c>
      <c r="D40" s="19">
        <f t="shared" si="0"/>
        <v>0</v>
      </c>
      <c r="E40" s="19">
        <f t="shared" si="5"/>
        <v>0</v>
      </c>
      <c r="F40" s="19">
        <f t="shared" si="4"/>
        <v>0</v>
      </c>
      <c r="G40" s="19">
        <f t="shared" si="1"/>
        <v>0</v>
      </c>
    </row>
    <row r="41" spans="1:9" x14ac:dyDescent="0.25">
      <c r="B41" s="6" t="s">
        <v>235</v>
      </c>
      <c r="C41" s="19">
        <f t="shared" si="2"/>
        <v>0</v>
      </c>
      <c r="D41" s="19">
        <f t="shared" si="0"/>
        <v>0</v>
      </c>
      <c r="E41" s="19">
        <f t="shared" si="5"/>
        <v>0</v>
      </c>
      <c r="F41" s="19">
        <f t="shared" si="4"/>
        <v>0</v>
      </c>
      <c r="G41" s="19">
        <f t="shared" si="1"/>
        <v>0</v>
      </c>
    </row>
    <row r="42" spans="1:9" x14ac:dyDescent="0.25">
      <c r="B42" s="6" t="s">
        <v>236</v>
      </c>
      <c r="C42" s="19">
        <f t="shared" si="2"/>
        <v>0</v>
      </c>
      <c r="D42" s="19">
        <f t="shared" si="0"/>
        <v>0</v>
      </c>
      <c r="E42" s="19">
        <f t="shared" si="5"/>
        <v>0</v>
      </c>
      <c r="F42" s="19">
        <f t="shared" si="4"/>
        <v>0</v>
      </c>
      <c r="G42" s="19">
        <f t="shared" si="1"/>
        <v>0</v>
      </c>
    </row>
    <row r="43" spans="1:9" x14ac:dyDescent="0.25">
      <c r="B43" s="6" t="s">
        <v>237</v>
      </c>
      <c r="C43" s="19">
        <f t="shared" si="2"/>
        <v>0</v>
      </c>
      <c r="D43" s="19">
        <f t="shared" si="0"/>
        <v>0</v>
      </c>
      <c r="E43" s="19">
        <f t="shared" si="5"/>
        <v>0</v>
      </c>
      <c r="F43" s="19">
        <f t="shared" si="4"/>
        <v>0</v>
      </c>
      <c r="G43" s="19">
        <f t="shared" si="1"/>
        <v>0</v>
      </c>
      <c r="H43" s="13">
        <f>SUM(D32:D43)</f>
        <v>0</v>
      </c>
      <c r="I43" s="13">
        <f>SUM(E32:E43)</f>
        <v>0</v>
      </c>
    </row>
    <row r="44" spans="1:9" x14ac:dyDescent="0.25">
      <c r="A44" s="1" t="s">
        <v>238</v>
      </c>
      <c r="B44" s="6" t="s">
        <v>239</v>
      </c>
      <c r="C44" s="19">
        <f t="shared" si="2"/>
        <v>0</v>
      </c>
      <c r="D44" s="19">
        <f t="shared" si="0"/>
        <v>0</v>
      </c>
      <c r="E44" s="19">
        <f t="shared" si="5"/>
        <v>0</v>
      </c>
      <c r="F44" s="19">
        <f t="shared" si="4"/>
        <v>0</v>
      </c>
      <c r="G44" s="19">
        <f t="shared" si="1"/>
        <v>0</v>
      </c>
    </row>
    <row r="45" spans="1:9" x14ac:dyDescent="0.25">
      <c r="B45" s="6" t="s">
        <v>240</v>
      </c>
      <c r="C45" s="19">
        <f t="shared" si="2"/>
        <v>0</v>
      </c>
      <c r="D45" s="19">
        <f t="shared" si="0"/>
        <v>0</v>
      </c>
      <c r="E45" s="19">
        <f t="shared" si="5"/>
        <v>0</v>
      </c>
      <c r="F45" s="19">
        <f t="shared" si="4"/>
        <v>0</v>
      </c>
      <c r="G45" s="19">
        <f t="shared" si="1"/>
        <v>0</v>
      </c>
    </row>
    <row r="46" spans="1:9" x14ac:dyDescent="0.25">
      <c r="B46" s="6" t="s">
        <v>241</v>
      </c>
      <c r="C46" s="19">
        <f t="shared" si="2"/>
        <v>0</v>
      </c>
      <c r="D46" s="19">
        <f t="shared" si="0"/>
        <v>0</v>
      </c>
      <c r="E46" s="19">
        <f t="shared" si="5"/>
        <v>0</v>
      </c>
      <c r="F46" s="19">
        <f t="shared" si="4"/>
        <v>0</v>
      </c>
      <c r="G46" s="19">
        <f t="shared" si="1"/>
        <v>0</v>
      </c>
    </row>
    <row r="47" spans="1:9" x14ac:dyDescent="0.25">
      <c r="B47" s="6" t="s">
        <v>242</v>
      </c>
      <c r="C47" s="19">
        <f t="shared" si="2"/>
        <v>0</v>
      </c>
      <c r="D47" s="19">
        <f t="shared" si="0"/>
        <v>0</v>
      </c>
      <c r="E47" s="19">
        <f t="shared" si="5"/>
        <v>0</v>
      </c>
      <c r="F47" s="19">
        <f t="shared" si="4"/>
        <v>0</v>
      </c>
      <c r="G47" s="19">
        <f t="shared" si="1"/>
        <v>0</v>
      </c>
    </row>
    <row r="48" spans="1:9" x14ac:dyDescent="0.25">
      <c r="B48" s="6" t="s">
        <v>243</v>
      </c>
      <c r="C48" s="19">
        <f t="shared" si="2"/>
        <v>0</v>
      </c>
      <c r="D48" s="19">
        <f t="shared" si="0"/>
        <v>0</v>
      </c>
      <c r="E48" s="19">
        <f t="shared" si="5"/>
        <v>0</v>
      </c>
      <c r="F48" s="19">
        <f t="shared" si="4"/>
        <v>0</v>
      </c>
      <c r="G48" s="19">
        <f t="shared" si="1"/>
        <v>0</v>
      </c>
    </row>
    <row r="49" spans="1:9" x14ac:dyDescent="0.25">
      <c r="B49" s="6" t="s">
        <v>244</v>
      </c>
      <c r="C49" s="19">
        <f t="shared" si="2"/>
        <v>0</v>
      </c>
      <c r="D49" s="19">
        <f t="shared" si="0"/>
        <v>0</v>
      </c>
      <c r="E49" s="19">
        <f t="shared" si="5"/>
        <v>0</v>
      </c>
      <c r="F49" s="19">
        <f t="shared" si="4"/>
        <v>0</v>
      </c>
      <c r="G49" s="19">
        <f t="shared" si="1"/>
        <v>0</v>
      </c>
    </row>
    <row r="50" spans="1:9" x14ac:dyDescent="0.25">
      <c r="B50" s="6" t="s">
        <v>245</v>
      </c>
      <c r="C50" s="19">
        <f t="shared" si="2"/>
        <v>0</v>
      </c>
      <c r="D50" s="19">
        <f t="shared" si="0"/>
        <v>0</v>
      </c>
      <c r="E50" s="19">
        <f t="shared" si="5"/>
        <v>0</v>
      </c>
      <c r="F50" s="19">
        <f t="shared" si="4"/>
        <v>0</v>
      </c>
      <c r="G50" s="19">
        <f t="shared" si="1"/>
        <v>0</v>
      </c>
    </row>
    <row r="51" spans="1:9" x14ac:dyDescent="0.25">
      <c r="B51" s="6" t="s">
        <v>246</v>
      </c>
      <c r="C51" s="19">
        <f t="shared" si="2"/>
        <v>0</v>
      </c>
      <c r="D51" s="19">
        <f t="shared" si="0"/>
        <v>0</v>
      </c>
      <c r="E51" s="19">
        <f t="shared" si="5"/>
        <v>0</v>
      </c>
      <c r="F51" s="19">
        <f t="shared" si="4"/>
        <v>0</v>
      </c>
      <c r="G51" s="19">
        <f t="shared" si="1"/>
        <v>0</v>
      </c>
    </row>
    <row r="52" spans="1:9" x14ac:dyDescent="0.25">
      <c r="B52" s="6" t="s">
        <v>247</v>
      </c>
      <c r="C52" s="19">
        <f t="shared" si="2"/>
        <v>0</v>
      </c>
      <c r="D52" s="19">
        <f t="shared" si="0"/>
        <v>0</v>
      </c>
      <c r="E52" s="19">
        <f t="shared" si="5"/>
        <v>0</v>
      </c>
      <c r="F52" s="19">
        <f t="shared" si="4"/>
        <v>0</v>
      </c>
      <c r="G52" s="19">
        <f t="shared" si="1"/>
        <v>0</v>
      </c>
    </row>
    <row r="53" spans="1:9" x14ac:dyDescent="0.25">
      <c r="B53" s="6" t="s">
        <v>248</v>
      </c>
      <c r="C53" s="19">
        <f t="shared" si="2"/>
        <v>0</v>
      </c>
      <c r="D53" s="19">
        <f t="shared" si="0"/>
        <v>0</v>
      </c>
      <c r="E53" s="19">
        <f t="shared" si="5"/>
        <v>0</v>
      </c>
      <c r="F53" s="19">
        <f t="shared" si="4"/>
        <v>0</v>
      </c>
      <c r="G53" s="19">
        <f t="shared" si="1"/>
        <v>0</v>
      </c>
    </row>
    <row r="54" spans="1:9" x14ac:dyDescent="0.25">
      <c r="B54" s="6" t="s">
        <v>249</v>
      </c>
      <c r="C54" s="19">
        <f t="shared" si="2"/>
        <v>0</v>
      </c>
      <c r="D54" s="19">
        <f t="shared" si="0"/>
        <v>0</v>
      </c>
      <c r="E54" s="19">
        <f t="shared" si="5"/>
        <v>0</v>
      </c>
      <c r="F54" s="19">
        <f t="shared" si="4"/>
        <v>0</v>
      </c>
      <c r="G54" s="19">
        <f t="shared" si="1"/>
        <v>0</v>
      </c>
    </row>
    <row r="55" spans="1:9" x14ac:dyDescent="0.25">
      <c r="B55" s="6" t="s">
        <v>250</v>
      </c>
      <c r="C55" s="19">
        <f t="shared" si="2"/>
        <v>0</v>
      </c>
      <c r="D55" s="19">
        <f t="shared" si="0"/>
        <v>0</v>
      </c>
      <c r="E55" s="19">
        <f t="shared" si="5"/>
        <v>0</v>
      </c>
      <c r="F55" s="19">
        <f t="shared" si="4"/>
        <v>0</v>
      </c>
      <c r="G55" s="19">
        <f t="shared" si="1"/>
        <v>0</v>
      </c>
      <c r="H55" s="13">
        <f>SUM(D44:D55)</f>
        <v>0</v>
      </c>
      <c r="I55" s="13">
        <f>SUM(E44:E55)</f>
        <v>0</v>
      </c>
    </row>
    <row r="56" spans="1:9" x14ac:dyDescent="0.25">
      <c r="A56" s="1" t="s">
        <v>251</v>
      </c>
      <c r="B56" s="6" t="s">
        <v>252</v>
      </c>
      <c r="C56" s="19">
        <f t="shared" si="2"/>
        <v>0</v>
      </c>
      <c r="D56" s="19">
        <f t="shared" si="0"/>
        <v>0</v>
      </c>
      <c r="E56" s="19">
        <f t="shared" si="5"/>
        <v>0</v>
      </c>
      <c r="F56" s="19">
        <f t="shared" si="4"/>
        <v>0</v>
      </c>
      <c r="G56" s="19">
        <f t="shared" si="1"/>
        <v>0</v>
      </c>
    </row>
    <row r="57" spans="1:9" x14ac:dyDescent="0.25">
      <c r="B57" s="6" t="s">
        <v>253</v>
      </c>
      <c r="C57" s="19">
        <f t="shared" si="2"/>
        <v>0</v>
      </c>
      <c r="D57" s="19">
        <f t="shared" si="0"/>
        <v>0</v>
      </c>
      <c r="E57" s="19">
        <f t="shared" si="5"/>
        <v>0</v>
      </c>
      <c r="F57" s="19">
        <f t="shared" si="4"/>
        <v>0</v>
      </c>
      <c r="G57" s="19">
        <f t="shared" si="1"/>
        <v>0</v>
      </c>
    </row>
    <row r="58" spans="1:9" x14ac:dyDescent="0.25">
      <c r="B58" s="6" t="s">
        <v>254</v>
      </c>
      <c r="C58" s="19">
        <f t="shared" si="2"/>
        <v>0</v>
      </c>
      <c r="D58" s="19">
        <f t="shared" si="0"/>
        <v>0</v>
      </c>
      <c r="E58" s="19">
        <f t="shared" si="5"/>
        <v>0</v>
      </c>
      <c r="F58" s="19">
        <f t="shared" si="4"/>
        <v>0</v>
      </c>
      <c r="G58" s="19">
        <f t="shared" si="1"/>
        <v>0</v>
      </c>
    </row>
    <row r="59" spans="1:9" x14ac:dyDescent="0.25">
      <c r="B59" s="6" t="s">
        <v>255</v>
      </c>
      <c r="C59" s="19">
        <f t="shared" si="2"/>
        <v>0</v>
      </c>
      <c r="D59" s="19">
        <f t="shared" si="0"/>
        <v>0</v>
      </c>
      <c r="E59" s="19">
        <f t="shared" si="5"/>
        <v>0</v>
      </c>
      <c r="F59" s="19">
        <f t="shared" si="4"/>
        <v>0</v>
      </c>
      <c r="G59" s="19">
        <f t="shared" si="1"/>
        <v>0</v>
      </c>
    </row>
    <row r="60" spans="1:9" x14ac:dyDescent="0.25">
      <c r="B60" s="6" t="s">
        <v>256</v>
      </c>
      <c r="C60" s="19">
        <f t="shared" si="2"/>
        <v>0</v>
      </c>
      <c r="D60" s="19">
        <f t="shared" si="0"/>
        <v>0</v>
      </c>
      <c r="E60" s="19">
        <f t="shared" si="5"/>
        <v>0</v>
      </c>
      <c r="F60" s="19">
        <f t="shared" si="4"/>
        <v>0</v>
      </c>
      <c r="G60" s="19">
        <f t="shared" si="1"/>
        <v>0</v>
      </c>
    </row>
    <row r="61" spans="1:9" x14ac:dyDescent="0.25">
      <c r="B61" s="6" t="s">
        <v>257</v>
      </c>
      <c r="C61" s="19">
        <f t="shared" si="2"/>
        <v>0</v>
      </c>
      <c r="D61" s="19">
        <f t="shared" si="0"/>
        <v>0</v>
      </c>
      <c r="E61" s="19">
        <f t="shared" si="5"/>
        <v>0</v>
      </c>
      <c r="F61" s="19">
        <f t="shared" si="4"/>
        <v>0</v>
      </c>
      <c r="G61" s="19">
        <f t="shared" si="1"/>
        <v>0</v>
      </c>
    </row>
    <row r="62" spans="1:9" x14ac:dyDescent="0.25">
      <c r="B62" s="6" t="s">
        <v>258</v>
      </c>
      <c r="C62" s="19">
        <f t="shared" si="2"/>
        <v>0</v>
      </c>
      <c r="D62" s="19">
        <f t="shared" si="0"/>
        <v>0</v>
      </c>
      <c r="E62" s="19">
        <f t="shared" si="5"/>
        <v>0</v>
      </c>
      <c r="F62" s="19">
        <f t="shared" si="4"/>
        <v>0</v>
      </c>
      <c r="G62" s="19">
        <f t="shared" si="1"/>
        <v>0</v>
      </c>
    </row>
    <row r="63" spans="1:9" x14ac:dyDescent="0.25">
      <c r="B63" s="6" t="s">
        <v>259</v>
      </c>
      <c r="C63" s="19">
        <f t="shared" si="2"/>
        <v>0</v>
      </c>
      <c r="D63" s="19">
        <f t="shared" si="0"/>
        <v>0</v>
      </c>
      <c r="E63" s="19">
        <f t="shared" si="5"/>
        <v>0</v>
      </c>
      <c r="F63" s="19">
        <f t="shared" si="4"/>
        <v>0</v>
      </c>
      <c r="G63" s="19">
        <f t="shared" si="1"/>
        <v>0</v>
      </c>
    </row>
    <row r="64" spans="1:9" x14ac:dyDescent="0.25">
      <c r="B64" s="6" t="s">
        <v>260</v>
      </c>
      <c r="C64" s="19">
        <f t="shared" si="2"/>
        <v>0</v>
      </c>
      <c r="D64" s="19">
        <f t="shared" si="0"/>
        <v>0</v>
      </c>
      <c r="E64" s="19">
        <f t="shared" si="5"/>
        <v>0</v>
      </c>
      <c r="F64" s="19">
        <f t="shared" si="4"/>
        <v>0</v>
      </c>
      <c r="G64" s="19">
        <f t="shared" si="1"/>
        <v>0</v>
      </c>
    </row>
    <row r="65" spans="1:9" x14ac:dyDescent="0.25">
      <c r="B65" s="6" t="s">
        <v>261</v>
      </c>
      <c r="C65" s="19">
        <f t="shared" si="2"/>
        <v>0</v>
      </c>
      <c r="D65" s="19">
        <f t="shared" si="0"/>
        <v>0</v>
      </c>
      <c r="E65" s="19">
        <f t="shared" si="5"/>
        <v>0</v>
      </c>
      <c r="F65" s="19">
        <f t="shared" si="4"/>
        <v>0</v>
      </c>
      <c r="G65" s="19">
        <f t="shared" si="1"/>
        <v>0</v>
      </c>
    </row>
    <row r="66" spans="1:9" x14ac:dyDescent="0.25">
      <c r="B66" s="6" t="s">
        <v>262</v>
      </c>
      <c r="C66" s="19">
        <f t="shared" si="2"/>
        <v>0</v>
      </c>
      <c r="D66" s="19">
        <f t="shared" si="0"/>
        <v>0</v>
      </c>
      <c r="E66" s="19">
        <f t="shared" si="5"/>
        <v>0</v>
      </c>
      <c r="F66" s="19">
        <f t="shared" si="4"/>
        <v>0</v>
      </c>
      <c r="G66" s="19">
        <f t="shared" si="1"/>
        <v>0</v>
      </c>
    </row>
    <row r="67" spans="1:9" x14ac:dyDescent="0.25">
      <c r="B67" s="6" t="s">
        <v>263</v>
      </c>
      <c r="C67" s="19">
        <f t="shared" si="2"/>
        <v>0</v>
      </c>
      <c r="D67" s="19">
        <f t="shared" si="0"/>
        <v>0</v>
      </c>
      <c r="E67" s="19">
        <f t="shared" si="5"/>
        <v>0</v>
      </c>
      <c r="F67" s="19">
        <f t="shared" si="4"/>
        <v>0</v>
      </c>
      <c r="G67" s="19">
        <f t="shared" si="1"/>
        <v>0</v>
      </c>
      <c r="H67" s="13">
        <f>SUM(D56:D67)</f>
        <v>0</v>
      </c>
      <c r="I67" s="13">
        <f>SUM(E56:E67)</f>
        <v>0</v>
      </c>
    </row>
    <row r="68" spans="1:9" x14ac:dyDescent="0.25">
      <c r="A68" s="1" t="s">
        <v>264</v>
      </c>
      <c r="B68" s="6" t="s">
        <v>265</v>
      </c>
      <c r="C68" s="19">
        <f t="shared" si="2"/>
        <v>0</v>
      </c>
      <c r="D68" s="19">
        <f t="shared" si="0"/>
        <v>0</v>
      </c>
      <c r="E68" s="19">
        <f t="shared" si="5"/>
        <v>0</v>
      </c>
      <c r="F68" s="19">
        <f t="shared" si="4"/>
        <v>0</v>
      </c>
      <c r="G68" s="19">
        <f t="shared" si="1"/>
        <v>0</v>
      </c>
    </row>
    <row r="69" spans="1:9" x14ac:dyDescent="0.25">
      <c r="B69" s="6" t="s">
        <v>266</v>
      </c>
      <c r="C69" s="19">
        <f t="shared" si="2"/>
        <v>0</v>
      </c>
      <c r="D69" s="19">
        <f t="shared" si="0"/>
        <v>0</v>
      </c>
      <c r="E69" s="19">
        <f t="shared" si="5"/>
        <v>0</v>
      </c>
      <c r="F69" s="19">
        <f t="shared" si="4"/>
        <v>0</v>
      </c>
      <c r="G69" s="19">
        <f t="shared" si="1"/>
        <v>0</v>
      </c>
    </row>
    <row r="70" spans="1:9" x14ac:dyDescent="0.25">
      <c r="B70" s="6" t="s">
        <v>267</v>
      </c>
      <c r="C70" s="19">
        <f t="shared" si="2"/>
        <v>0</v>
      </c>
      <c r="D70" s="19">
        <f t="shared" si="0"/>
        <v>0</v>
      </c>
      <c r="E70" s="19">
        <f t="shared" si="5"/>
        <v>0</v>
      </c>
      <c r="F70" s="19">
        <f t="shared" si="4"/>
        <v>0</v>
      </c>
      <c r="G70" s="19">
        <f t="shared" si="1"/>
        <v>0</v>
      </c>
    </row>
    <row r="71" spans="1:9" x14ac:dyDescent="0.25">
      <c r="B71" s="6" t="s">
        <v>268</v>
      </c>
      <c r="C71" s="19">
        <f t="shared" si="2"/>
        <v>0</v>
      </c>
      <c r="D71" s="19">
        <f t="shared" si="0"/>
        <v>0</v>
      </c>
      <c r="E71" s="19">
        <f t="shared" si="5"/>
        <v>0</v>
      </c>
      <c r="F71" s="19">
        <f t="shared" si="4"/>
        <v>0</v>
      </c>
      <c r="G71" s="19">
        <f t="shared" si="1"/>
        <v>0</v>
      </c>
    </row>
    <row r="72" spans="1:9" x14ac:dyDescent="0.25">
      <c r="B72" s="6" t="s">
        <v>269</v>
      </c>
      <c r="C72" s="19">
        <f t="shared" si="2"/>
        <v>0</v>
      </c>
      <c r="D72" s="19">
        <f t="shared" ref="D72:D91" si="6">C72*$D$5/12</f>
        <v>0</v>
      </c>
      <c r="E72" s="19">
        <f t="shared" si="5"/>
        <v>0</v>
      </c>
      <c r="F72" s="19">
        <f t="shared" si="4"/>
        <v>0</v>
      </c>
      <c r="G72" s="19">
        <f t="shared" si="1"/>
        <v>0</v>
      </c>
    </row>
    <row r="73" spans="1:9" x14ac:dyDescent="0.25">
      <c r="B73" s="6" t="s">
        <v>270</v>
      </c>
      <c r="C73" s="19">
        <f t="shared" si="2"/>
        <v>0</v>
      </c>
      <c r="D73" s="19">
        <f t="shared" si="6"/>
        <v>0</v>
      </c>
      <c r="E73" s="19">
        <f t="shared" si="5"/>
        <v>0</v>
      </c>
      <c r="F73" s="19">
        <f t="shared" si="4"/>
        <v>0</v>
      </c>
      <c r="G73" s="19">
        <f t="shared" ref="G73:G91" si="7">C73-E73</f>
        <v>0</v>
      </c>
    </row>
    <row r="74" spans="1:9" x14ac:dyDescent="0.25">
      <c r="B74" s="6" t="s">
        <v>271</v>
      </c>
      <c r="C74" s="19">
        <f t="shared" ref="C74:C91" si="8">G73</f>
        <v>0</v>
      </c>
      <c r="D74" s="19">
        <f t="shared" si="6"/>
        <v>0</v>
      </c>
      <c r="E74" s="19">
        <f t="shared" si="5"/>
        <v>0</v>
      </c>
      <c r="F74" s="19">
        <f t="shared" si="4"/>
        <v>0</v>
      </c>
      <c r="G74" s="19">
        <f t="shared" si="7"/>
        <v>0</v>
      </c>
    </row>
    <row r="75" spans="1:9" x14ac:dyDescent="0.25">
      <c r="B75" s="6" t="s">
        <v>272</v>
      </c>
      <c r="C75" s="19">
        <f t="shared" si="8"/>
        <v>0</v>
      </c>
      <c r="D75" s="19">
        <f t="shared" si="6"/>
        <v>0</v>
      </c>
      <c r="E75" s="19">
        <f t="shared" si="5"/>
        <v>0</v>
      </c>
      <c r="F75" s="19">
        <f t="shared" si="4"/>
        <v>0</v>
      </c>
      <c r="G75" s="19">
        <f t="shared" si="7"/>
        <v>0</v>
      </c>
    </row>
    <row r="76" spans="1:9" x14ac:dyDescent="0.25">
      <c r="B76" s="6" t="s">
        <v>273</v>
      </c>
      <c r="C76" s="19">
        <f t="shared" si="8"/>
        <v>0</v>
      </c>
      <c r="D76" s="19">
        <f t="shared" si="6"/>
        <v>0</v>
      </c>
      <c r="E76" s="19">
        <f t="shared" si="5"/>
        <v>0</v>
      </c>
      <c r="F76" s="19">
        <f t="shared" si="4"/>
        <v>0</v>
      </c>
      <c r="G76" s="19">
        <f t="shared" si="7"/>
        <v>0</v>
      </c>
    </row>
    <row r="77" spans="1:9" x14ac:dyDescent="0.25">
      <c r="B77" s="6" t="s">
        <v>274</v>
      </c>
      <c r="C77" s="19">
        <f t="shared" si="8"/>
        <v>0</v>
      </c>
      <c r="D77" s="19">
        <f t="shared" si="6"/>
        <v>0</v>
      </c>
      <c r="E77" s="19">
        <f t="shared" si="5"/>
        <v>0</v>
      </c>
      <c r="F77" s="19">
        <f t="shared" si="4"/>
        <v>0</v>
      </c>
      <c r="G77" s="19">
        <f t="shared" si="7"/>
        <v>0</v>
      </c>
    </row>
    <row r="78" spans="1:9" x14ac:dyDescent="0.25">
      <c r="B78" s="6" t="s">
        <v>275</v>
      </c>
      <c r="C78" s="19">
        <f t="shared" si="8"/>
        <v>0</v>
      </c>
      <c r="D78" s="19">
        <f t="shared" si="6"/>
        <v>0</v>
      </c>
      <c r="E78" s="19">
        <f t="shared" si="5"/>
        <v>0</v>
      </c>
      <c r="F78" s="19">
        <f t="shared" si="4"/>
        <v>0</v>
      </c>
      <c r="G78" s="19">
        <f t="shared" si="7"/>
        <v>0</v>
      </c>
    </row>
    <row r="79" spans="1:9" x14ac:dyDescent="0.25">
      <c r="B79" s="6" t="s">
        <v>276</v>
      </c>
      <c r="C79" s="19">
        <f t="shared" si="8"/>
        <v>0</v>
      </c>
      <c r="D79" s="19">
        <f t="shared" si="6"/>
        <v>0</v>
      </c>
      <c r="E79" s="19">
        <f t="shared" si="5"/>
        <v>0</v>
      </c>
      <c r="F79" s="19">
        <f t="shared" si="4"/>
        <v>0</v>
      </c>
      <c r="G79" s="19">
        <f t="shared" si="7"/>
        <v>0</v>
      </c>
      <c r="H79" s="13">
        <f>SUM(D68:D79)</f>
        <v>0</v>
      </c>
      <c r="I79" s="13">
        <f>SUM(E68:E79)</f>
        <v>0</v>
      </c>
    </row>
    <row r="80" spans="1:9" x14ac:dyDescent="0.25">
      <c r="A80" s="1" t="s">
        <v>289</v>
      </c>
      <c r="B80" s="6" t="s">
        <v>277</v>
      </c>
      <c r="C80" s="19">
        <f t="shared" si="8"/>
        <v>0</v>
      </c>
      <c r="D80" s="19">
        <f t="shared" si="6"/>
        <v>0</v>
      </c>
      <c r="E80" s="19">
        <f t="shared" si="5"/>
        <v>0</v>
      </c>
      <c r="F80" s="19">
        <f t="shared" si="4"/>
        <v>0</v>
      </c>
      <c r="G80" s="19">
        <f t="shared" si="7"/>
        <v>0</v>
      </c>
    </row>
    <row r="81" spans="1:9" x14ac:dyDescent="0.25">
      <c r="A81" s="23"/>
      <c r="B81" s="6" t="s">
        <v>278</v>
      </c>
      <c r="C81" s="19">
        <f t="shared" si="8"/>
        <v>0</v>
      </c>
      <c r="D81" s="19">
        <f t="shared" si="6"/>
        <v>0</v>
      </c>
      <c r="E81" s="19">
        <f t="shared" si="5"/>
        <v>0</v>
      </c>
      <c r="F81" s="19">
        <f t="shared" si="4"/>
        <v>0</v>
      </c>
      <c r="G81" s="19">
        <f t="shared" si="7"/>
        <v>0</v>
      </c>
    </row>
    <row r="82" spans="1:9" x14ac:dyDescent="0.25">
      <c r="A82" s="23"/>
      <c r="B82" s="6" t="s">
        <v>279</v>
      </c>
      <c r="C82" s="19">
        <f t="shared" si="8"/>
        <v>0</v>
      </c>
      <c r="D82" s="19">
        <f t="shared" si="6"/>
        <v>0</v>
      </c>
      <c r="E82" s="19">
        <f t="shared" si="5"/>
        <v>0</v>
      </c>
      <c r="F82" s="19">
        <f t="shared" si="4"/>
        <v>0</v>
      </c>
      <c r="G82" s="19">
        <f t="shared" si="7"/>
        <v>0</v>
      </c>
    </row>
    <row r="83" spans="1:9" x14ac:dyDescent="0.25">
      <c r="A83" s="23"/>
      <c r="B83" s="6" t="s">
        <v>280</v>
      </c>
      <c r="C83" s="19">
        <f t="shared" si="8"/>
        <v>0</v>
      </c>
      <c r="D83" s="19">
        <f t="shared" si="6"/>
        <v>0</v>
      </c>
      <c r="E83" s="19">
        <f t="shared" si="5"/>
        <v>0</v>
      </c>
      <c r="F83" s="19">
        <f t="shared" si="4"/>
        <v>0</v>
      </c>
      <c r="G83" s="19">
        <f t="shared" si="7"/>
        <v>0</v>
      </c>
    </row>
    <row r="84" spans="1:9" x14ac:dyDescent="0.25">
      <c r="A84" s="23"/>
      <c r="B84" s="6" t="s">
        <v>281</v>
      </c>
      <c r="C84" s="19">
        <f t="shared" si="8"/>
        <v>0</v>
      </c>
      <c r="D84" s="19">
        <f t="shared" si="6"/>
        <v>0</v>
      </c>
      <c r="E84" s="19">
        <f t="shared" si="5"/>
        <v>0</v>
      </c>
      <c r="F84" s="19">
        <f t="shared" si="4"/>
        <v>0</v>
      </c>
      <c r="G84" s="19">
        <f t="shared" si="7"/>
        <v>0</v>
      </c>
    </row>
    <row r="85" spans="1:9" x14ac:dyDescent="0.25">
      <c r="A85" s="23"/>
      <c r="B85" s="6" t="s">
        <v>282</v>
      </c>
      <c r="C85" s="19">
        <f t="shared" si="8"/>
        <v>0</v>
      </c>
      <c r="D85" s="19">
        <f t="shared" si="6"/>
        <v>0</v>
      </c>
      <c r="E85" s="19">
        <f t="shared" si="5"/>
        <v>0</v>
      </c>
      <c r="F85" s="19">
        <f t="shared" ref="F85:F91" si="9">D85+E85</f>
        <v>0</v>
      </c>
      <c r="G85" s="19">
        <f t="shared" si="7"/>
        <v>0</v>
      </c>
    </row>
    <row r="86" spans="1:9" x14ac:dyDescent="0.25">
      <c r="A86" s="23"/>
      <c r="B86" s="6" t="s">
        <v>283</v>
      </c>
      <c r="C86" s="19">
        <f t="shared" si="8"/>
        <v>0</v>
      </c>
      <c r="D86" s="19">
        <f t="shared" si="6"/>
        <v>0</v>
      </c>
      <c r="E86" s="19">
        <f t="shared" ref="E86:E91" si="10">$E$20</f>
        <v>0</v>
      </c>
      <c r="F86" s="19">
        <f t="shared" si="9"/>
        <v>0</v>
      </c>
      <c r="G86" s="19">
        <f t="shared" si="7"/>
        <v>0</v>
      </c>
    </row>
    <row r="87" spans="1:9" x14ac:dyDescent="0.25">
      <c r="A87" s="23"/>
      <c r="B87" s="6" t="s">
        <v>284</v>
      </c>
      <c r="C87" s="19">
        <f t="shared" si="8"/>
        <v>0</v>
      </c>
      <c r="D87" s="19">
        <f t="shared" si="6"/>
        <v>0</v>
      </c>
      <c r="E87" s="19">
        <f t="shared" si="10"/>
        <v>0</v>
      </c>
      <c r="F87" s="19">
        <f t="shared" si="9"/>
        <v>0</v>
      </c>
      <c r="G87" s="19">
        <f t="shared" si="7"/>
        <v>0</v>
      </c>
    </row>
    <row r="88" spans="1:9" x14ac:dyDescent="0.25">
      <c r="A88" s="23"/>
      <c r="B88" s="6" t="s">
        <v>285</v>
      </c>
      <c r="C88" s="19">
        <f t="shared" si="8"/>
        <v>0</v>
      </c>
      <c r="D88" s="19">
        <f t="shared" si="6"/>
        <v>0</v>
      </c>
      <c r="E88" s="19">
        <f t="shared" si="10"/>
        <v>0</v>
      </c>
      <c r="F88" s="19">
        <f t="shared" si="9"/>
        <v>0</v>
      </c>
      <c r="G88" s="19">
        <f t="shared" si="7"/>
        <v>0</v>
      </c>
    </row>
    <row r="89" spans="1:9" x14ac:dyDescent="0.25">
      <c r="A89" s="23"/>
      <c r="B89" s="6" t="s">
        <v>286</v>
      </c>
      <c r="C89" s="19">
        <f t="shared" si="8"/>
        <v>0</v>
      </c>
      <c r="D89" s="19">
        <f t="shared" si="6"/>
        <v>0</v>
      </c>
      <c r="E89" s="19">
        <f t="shared" si="10"/>
        <v>0</v>
      </c>
      <c r="F89" s="19">
        <f t="shared" si="9"/>
        <v>0</v>
      </c>
      <c r="G89" s="19">
        <f t="shared" si="7"/>
        <v>0</v>
      </c>
    </row>
    <row r="90" spans="1:9" x14ac:dyDescent="0.25">
      <c r="A90" s="23"/>
      <c r="B90" s="6" t="s">
        <v>287</v>
      </c>
      <c r="C90" s="19">
        <f t="shared" si="8"/>
        <v>0</v>
      </c>
      <c r="D90" s="19">
        <f t="shared" si="6"/>
        <v>0</v>
      </c>
      <c r="E90" s="19">
        <f t="shared" si="10"/>
        <v>0</v>
      </c>
      <c r="F90" s="19">
        <f t="shared" si="9"/>
        <v>0</v>
      </c>
      <c r="G90" s="19">
        <f t="shared" si="7"/>
        <v>0</v>
      </c>
    </row>
    <row r="91" spans="1:9" x14ac:dyDescent="0.25">
      <c r="A91" s="23"/>
      <c r="B91" s="6" t="s">
        <v>288</v>
      </c>
      <c r="C91" s="19">
        <f t="shared" si="8"/>
        <v>0</v>
      </c>
      <c r="D91" s="19">
        <f t="shared" si="6"/>
        <v>0</v>
      </c>
      <c r="E91" s="19">
        <f t="shared" si="10"/>
        <v>0</v>
      </c>
      <c r="F91" s="19">
        <f t="shared" si="9"/>
        <v>0</v>
      </c>
      <c r="G91" s="19">
        <f t="shared" si="7"/>
        <v>0</v>
      </c>
      <c r="H91" s="13">
        <f>SUM(D80:D91)</f>
        <v>0</v>
      </c>
      <c r="I91" s="13">
        <f>SUM(E80:E91)</f>
        <v>0</v>
      </c>
    </row>
    <row r="92" spans="1:9" x14ac:dyDescent="0.25">
      <c r="A92" s="23"/>
      <c r="B92" s="23"/>
      <c r="C92" s="23"/>
      <c r="D92" s="23"/>
      <c r="E92" s="23"/>
      <c r="F92" s="23"/>
      <c r="G92" s="23"/>
    </row>
    <row r="93" spans="1:9" x14ac:dyDescent="0.25">
      <c r="A93" s="23"/>
      <c r="B93" s="23"/>
      <c r="C93" s="23"/>
      <c r="D93" s="23"/>
      <c r="E93" s="23"/>
      <c r="F93" s="23"/>
      <c r="G93" s="23"/>
    </row>
    <row r="94" spans="1:9" x14ac:dyDescent="0.25">
      <c r="A94" s="23"/>
      <c r="B94" s="23"/>
      <c r="C94" s="23"/>
      <c r="D94" s="23"/>
      <c r="E94" s="23"/>
      <c r="F94" s="23"/>
      <c r="G94" s="23"/>
    </row>
    <row r="95" spans="1:9" x14ac:dyDescent="0.25">
      <c r="A95" s="23"/>
      <c r="B95" s="23"/>
      <c r="C95" s="23"/>
      <c r="D95" s="23"/>
      <c r="E95" s="23"/>
      <c r="F95" s="23"/>
      <c r="G95" s="23"/>
    </row>
    <row r="96" spans="1:9" x14ac:dyDescent="0.25">
      <c r="A96" s="23"/>
      <c r="B96" s="23"/>
      <c r="C96" s="23"/>
      <c r="D96" s="23"/>
      <c r="E96" s="23"/>
      <c r="F96" s="23"/>
      <c r="G96" s="23"/>
    </row>
    <row r="97" spans="1:7" x14ac:dyDescent="0.25">
      <c r="A97" s="23"/>
      <c r="B97" s="23"/>
      <c r="C97" s="23"/>
      <c r="D97" s="23"/>
      <c r="E97" s="23"/>
      <c r="F97" s="23"/>
      <c r="G97" s="23"/>
    </row>
  </sheetData>
  <mergeCells count="2">
    <mergeCell ref="B1:G1"/>
    <mergeCell ref="B3:G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view="pageBreakPreview" zoomScale="60" zoomScaleNormal="100" workbookViewId="0">
      <selection activeCell="A4" sqref="A4:K19"/>
    </sheetView>
  </sheetViews>
  <sheetFormatPr defaultRowHeight="15" x14ac:dyDescent="0.25"/>
  <cols>
    <col min="1" max="1" width="31" style="1" customWidth="1"/>
    <col min="2" max="12" width="9.140625" style="1"/>
    <col min="13" max="13" width="14.7109375" style="1" bestFit="1" customWidth="1"/>
    <col min="14" max="16384" width="9.140625" style="1"/>
  </cols>
  <sheetData>
    <row r="2" spans="1:15" x14ac:dyDescent="0.25">
      <c r="A2" s="350" t="s">
        <v>516</v>
      </c>
      <c r="B2" s="350"/>
      <c r="C2" s="350"/>
      <c r="D2" s="350"/>
      <c r="E2" s="350"/>
      <c r="F2" s="350"/>
      <c r="G2" s="350"/>
      <c r="H2" s="350"/>
      <c r="I2" s="220"/>
      <c r="J2" s="220"/>
      <c r="K2" s="220"/>
    </row>
    <row r="4" spans="1:15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  <c r="H4" s="46" t="s">
        <v>42</v>
      </c>
      <c r="I4" s="46" t="s">
        <v>494</v>
      </c>
      <c r="J4" s="46" t="s">
        <v>495</v>
      </c>
      <c r="K4" s="46" t="s">
        <v>496</v>
      </c>
    </row>
    <row r="5" spans="1:15" x14ac:dyDescent="0.25">
      <c r="A5" s="231"/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5" x14ac:dyDescent="0.25">
      <c r="A6" s="6" t="s">
        <v>350</v>
      </c>
      <c r="B6" s="19">
        <f>'P&amp;L'!B36</f>
        <v>19.337647593750013</v>
      </c>
      <c r="C6" s="19">
        <f>'P&amp;L'!C36</f>
        <v>29.95683349953125</v>
      </c>
      <c r="D6" s="19">
        <f>'P&amp;L'!D36</f>
        <v>34.93650692091407</v>
      </c>
      <c r="E6" s="19">
        <f>'P&amp;L'!E36</f>
        <v>42.15155865602221</v>
      </c>
      <c r="F6" s="19">
        <f>'P&amp;L'!F36</f>
        <v>50.217809597573378</v>
      </c>
      <c r="G6" s="19">
        <f>'P&amp;L'!G36</f>
        <v>59.363426074639563</v>
      </c>
      <c r="H6" s="19">
        <f>'P&amp;L'!H36</f>
        <v>68.533491391927825</v>
      </c>
      <c r="I6" s="19">
        <f>'P&amp;L'!I36</f>
        <v>79.211709939716343</v>
      </c>
      <c r="J6" s="19">
        <f>'P&amp;L'!J36</f>
        <v>90.87291232838524</v>
      </c>
      <c r="K6" s="19">
        <f>'P&amp;L'!K36</f>
        <v>103.90034802365601</v>
      </c>
    </row>
    <row r="7" spans="1:15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5" x14ac:dyDescent="0.25">
      <c r="A8" s="6" t="s">
        <v>517</v>
      </c>
      <c r="B8" s="357">
        <f>SUM(B6:K6)/10</f>
        <v>57.848224402611585</v>
      </c>
      <c r="C8" s="358"/>
      <c r="D8" s="358"/>
      <c r="E8" s="358"/>
      <c r="F8" s="358"/>
      <c r="G8" s="358"/>
      <c r="H8" s="358"/>
      <c r="I8" s="358"/>
      <c r="J8" s="358"/>
      <c r="K8" s="359"/>
    </row>
    <row r="9" spans="1:15" x14ac:dyDescent="0.25">
      <c r="A9" s="6" t="s">
        <v>518</v>
      </c>
      <c r="B9" s="357">
        <f>'Project Glance'!B23</f>
        <v>315.50123854166668</v>
      </c>
      <c r="C9" s="358"/>
      <c r="D9" s="358"/>
      <c r="E9" s="358"/>
      <c r="F9" s="358"/>
      <c r="G9" s="358"/>
      <c r="H9" s="358"/>
      <c r="I9" s="358"/>
      <c r="J9" s="358"/>
      <c r="K9" s="359"/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5" s="3" customFormat="1" x14ac:dyDescent="0.25">
      <c r="A11" s="240" t="s">
        <v>520</v>
      </c>
      <c r="B11" s="360">
        <f>B8/B9*100</f>
        <v>18.335339876953245</v>
      </c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5" hidden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5" hidden="1" x14ac:dyDescent="0.25">
      <c r="A13" s="6" t="s">
        <v>521</v>
      </c>
      <c r="B13" s="357">
        <f>'Project Glance'!B23-'Project Glance'!B20</f>
        <v>128.05733854166667</v>
      </c>
      <c r="C13" s="358"/>
      <c r="D13" s="358"/>
      <c r="E13" s="358"/>
      <c r="F13" s="358"/>
      <c r="G13" s="358"/>
      <c r="H13" s="358"/>
      <c r="I13" s="358"/>
      <c r="J13" s="358"/>
      <c r="K13" s="359"/>
    </row>
    <row r="14" spans="1:15" hidden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5" s="3" customFormat="1" hidden="1" x14ac:dyDescent="0.25">
      <c r="A15" s="240" t="s">
        <v>522</v>
      </c>
      <c r="B15" s="360">
        <f>(B8/B13)*100</f>
        <v>45.173689428028538</v>
      </c>
      <c r="C15" s="361"/>
      <c r="D15" s="361"/>
      <c r="E15" s="361"/>
      <c r="F15" s="361"/>
      <c r="G15" s="361"/>
      <c r="H15" s="361"/>
      <c r="I15" s="361"/>
      <c r="J15" s="361"/>
      <c r="K15" s="362"/>
    </row>
    <row r="16" spans="1:15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M16" s="13">
        <f>B9</f>
        <v>315.50123854166668</v>
      </c>
      <c r="O16" s="13">
        <f>B13</f>
        <v>128.05733854166667</v>
      </c>
    </row>
    <row r="17" spans="1:15" s="3" customFormat="1" x14ac:dyDescent="0.25">
      <c r="A17" s="196" t="s">
        <v>523</v>
      </c>
      <c r="B17" s="354" t="s">
        <v>705</v>
      </c>
      <c r="C17" s="355"/>
      <c r="D17" s="355"/>
      <c r="E17" s="355"/>
      <c r="F17" s="355"/>
      <c r="G17" s="355"/>
      <c r="H17" s="355"/>
      <c r="I17" s="355"/>
      <c r="J17" s="355"/>
      <c r="K17" s="356"/>
      <c r="M17" s="232">
        <f>SUM(B6:H6)</f>
        <v>304.49727373435832</v>
      </c>
      <c r="O17" s="232">
        <f>SUM(B6:E6)</f>
        <v>126.38254667021755</v>
      </c>
    </row>
    <row r="18" spans="1:15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M18" s="13">
        <f>M16-M17</f>
        <v>11.003964807308364</v>
      </c>
      <c r="O18" s="13">
        <f>O16-O17</f>
        <v>1.6747918714491163</v>
      </c>
    </row>
    <row r="19" spans="1:15" x14ac:dyDescent="0.25">
      <c r="A19" s="196" t="s">
        <v>524</v>
      </c>
      <c r="B19" s="354" t="s">
        <v>706</v>
      </c>
      <c r="C19" s="355"/>
      <c r="D19" s="355"/>
      <c r="E19" s="355"/>
      <c r="F19" s="355"/>
      <c r="G19" s="355"/>
      <c r="H19" s="355"/>
      <c r="I19" s="355"/>
      <c r="J19" s="355"/>
      <c r="K19" s="356"/>
      <c r="M19" s="1">
        <f>M18*12/I6</f>
        <v>1.6670209213788527</v>
      </c>
      <c r="O19" s="1">
        <f>O18*12/F6</f>
        <v>0.400206672064019</v>
      </c>
    </row>
    <row r="21" spans="1:15" x14ac:dyDescent="0.25">
      <c r="M21" s="1" t="s">
        <v>594</v>
      </c>
      <c r="O21" s="1" t="s">
        <v>593</v>
      </c>
    </row>
  </sheetData>
  <mergeCells count="8">
    <mergeCell ref="B17:K17"/>
    <mergeCell ref="B19:K19"/>
    <mergeCell ref="A2:H2"/>
    <mergeCell ref="B8:K8"/>
    <mergeCell ref="B9:K9"/>
    <mergeCell ref="B11:K11"/>
    <mergeCell ref="B13:K13"/>
    <mergeCell ref="B15:K15"/>
  </mergeCells>
  <pageMargins left="0.7" right="0.7" top="0.75" bottom="0.75" header="0.3" footer="0.3"/>
  <pageSetup scale="73" orientation="portrait" r:id="rId1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"/>
  <sheetViews>
    <sheetView view="pageBreakPreview" zoomScale="60" zoomScaleNormal="100" workbookViewId="0">
      <selection activeCell="A4" sqref="A4:K21"/>
    </sheetView>
  </sheetViews>
  <sheetFormatPr defaultRowHeight="15" x14ac:dyDescent="0.25"/>
  <cols>
    <col min="1" max="1" width="38.42578125" style="1" customWidth="1"/>
    <col min="2" max="2" width="11.85546875" style="1" bestFit="1" customWidth="1"/>
    <col min="3" max="11" width="6.85546875" style="1" bestFit="1" customWidth="1"/>
    <col min="12" max="16384" width="9.140625" style="1"/>
  </cols>
  <sheetData>
    <row r="2" spans="1:11" x14ac:dyDescent="0.25">
      <c r="A2" s="350" t="s">
        <v>506</v>
      </c>
      <c r="B2" s="350"/>
      <c r="C2" s="350"/>
      <c r="D2" s="350"/>
      <c r="E2" s="350"/>
      <c r="F2" s="350"/>
      <c r="G2" s="350"/>
      <c r="H2" s="350"/>
    </row>
    <row r="4" spans="1:11" x14ac:dyDescent="0.25">
      <c r="A4" s="15" t="s">
        <v>493</v>
      </c>
      <c r="B4" s="15" t="s">
        <v>36</v>
      </c>
      <c r="C4" s="15" t="s">
        <v>37</v>
      </c>
      <c r="D4" s="15" t="s">
        <v>38</v>
      </c>
      <c r="E4" s="15" t="s">
        <v>39</v>
      </c>
      <c r="F4" s="15" t="s">
        <v>40</v>
      </c>
      <c r="G4" s="15" t="s">
        <v>41</v>
      </c>
      <c r="H4" s="15" t="s">
        <v>42</v>
      </c>
      <c r="I4" s="15" t="s">
        <v>494</v>
      </c>
      <c r="J4" s="15" t="s">
        <v>495</v>
      </c>
      <c r="K4" s="15" t="s">
        <v>496</v>
      </c>
    </row>
    <row r="5" spans="1:1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x14ac:dyDescent="0.25">
      <c r="A6" s="6" t="s">
        <v>497</v>
      </c>
      <c r="B6" s="229">
        <f>'P&amp;L'!B36</f>
        <v>19.337647593750013</v>
      </c>
      <c r="C6" s="229">
        <f>'P&amp;L'!C36</f>
        <v>29.95683349953125</v>
      </c>
      <c r="D6" s="229">
        <f>'P&amp;L'!D36</f>
        <v>34.93650692091407</v>
      </c>
      <c r="E6" s="229">
        <f>'P&amp;L'!E36</f>
        <v>42.15155865602221</v>
      </c>
      <c r="F6" s="229">
        <f>'P&amp;L'!F36</f>
        <v>50.217809597573378</v>
      </c>
      <c r="G6" s="229">
        <f>'P&amp;L'!G36</f>
        <v>59.363426074639563</v>
      </c>
      <c r="H6" s="229">
        <f>'P&amp;L'!H36</f>
        <v>68.533491391927825</v>
      </c>
      <c r="I6" s="229">
        <f>'P&amp;L'!I36</f>
        <v>79.211709939716343</v>
      </c>
      <c r="J6" s="229">
        <f>'P&amp;L'!J36</f>
        <v>90.87291232838524</v>
      </c>
      <c r="K6" s="229">
        <f>'P&amp;L'!K36</f>
        <v>103.90034802365601</v>
      </c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x14ac:dyDescent="0.25">
      <c r="A8" s="6" t="s">
        <v>507</v>
      </c>
      <c r="B8" s="229">
        <f>'P&amp;L'!B32</f>
        <v>12.794573</v>
      </c>
      <c r="C8" s="229">
        <f>'P&amp;L'!C32</f>
        <v>12.794573</v>
      </c>
      <c r="D8" s="229">
        <f>'P&amp;L'!D32</f>
        <v>12.794573</v>
      </c>
      <c r="E8" s="229">
        <f>'P&amp;L'!E32</f>
        <v>12.794573</v>
      </c>
      <c r="F8" s="229">
        <f>'P&amp;L'!F32</f>
        <v>12.794573</v>
      </c>
      <c r="G8" s="229">
        <f>'P&amp;L'!G32</f>
        <v>12.794573</v>
      </c>
      <c r="H8" s="229">
        <f>'P&amp;L'!H32</f>
        <v>12.794573</v>
      </c>
      <c r="I8" s="229">
        <f>'P&amp;L'!I32</f>
        <v>12.794573</v>
      </c>
      <c r="J8" s="229">
        <f>'P&amp;L'!J32</f>
        <v>12.794573</v>
      </c>
      <c r="K8" s="229">
        <f>'P&amp;L'!K32</f>
        <v>12.794573</v>
      </c>
    </row>
    <row r="9" spans="1:11" x14ac:dyDescent="0.25">
      <c r="A9" s="10" t="s">
        <v>508</v>
      </c>
      <c r="B9" s="229">
        <f>'P&amp;L'!B27</f>
        <v>1.4876500000000001</v>
      </c>
      <c r="C9" s="229">
        <f>'P&amp;L'!C27</f>
        <v>1.4876500000000001</v>
      </c>
      <c r="D9" s="229">
        <f>'P&amp;L'!D27</f>
        <v>1.4876500000000001</v>
      </c>
      <c r="E9" s="229">
        <f>'P&amp;L'!E27</f>
        <v>1.4876500000000001</v>
      </c>
      <c r="F9" s="229">
        <f>'P&amp;L'!F27</f>
        <v>1.4876500000000001</v>
      </c>
      <c r="G9" s="229">
        <f>'P&amp;L'!G27</f>
        <v>1.4876500000000001</v>
      </c>
      <c r="H9" s="229">
        <f>'P&amp;L'!H27</f>
        <v>1.4876500000000001</v>
      </c>
      <c r="I9" s="229">
        <f>'P&amp;L'!I27</f>
        <v>1.4876500000000001</v>
      </c>
      <c r="J9" s="229">
        <f>'P&amp;L'!J27</f>
        <v>1.4876500000000001</v>
      </c>
      <c r="K9" s="229">
        <f>'P&amp;L'!K27</f>
        <v>1.4876500000000001</v>
      </c>
    </row>
    <row r="10" spans="1:1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6" t="s">
        <v>499</v>
      </c>
      <c r="B11" s="229">
        <f>SUM(B6:B9)</f>
        <v>33.619870593750015</v>
      </c>
      <c r="C11" s="229">
        <f t="shared" ref="C11:K11" si="0">SUM(C6:C9)</f>
        <v>44.239056499531252</v>
      </c>
      <c r="D11" s="229">
        <f t="shared" si="0"/>
        <v>49.218729920914072</v>
      </c>
      <c r="E11" s="229">
        <f t="shared" si="0"/>
        <v>56.433781656022212</v>
      </c>
      <c r="F11" s="229">
        <f t="shared" si="0"/>
        <v>64.50003259757338</v>
      </c>
      <c r="G11" s="229">
        <f t="shared" si="0"/>
        <v>73.645649074639564</v>
      </c>
      <c r="H11" s="229">
        <f t="shared" si="0"/>
        <v>82.815714391927827</v>
      </c>
      <c r="I11" s="229">
        <f t="shared" si="0"/>
        <v>93.493932939716345</v>
      </c>
      <c r="J11" s="229">
        <f t="shared" si="0"/>
        <v>105.15513532838524</v>
      </c>
      <c r="K11" s="229">
        <f t="shared" si="0"/>
        <v>118.18257102365601</v>
      </c>
    </row>
    <row r="12" spans="1:1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5">
      <c r="A13" s="36" t="s">
        <v>509</v>
      </c>
      <c r="B13" s="19">
        <f>1/1.1</f>
        <v>0.90909090909090906</v>
      </c>
      <c r="C13" s="19">
        <f t="shared" ref="C13:H13" si="1">B13/1.1</f>
        <v>0.82644628099173545</v>
      </c>
      <c r="D13" s="19">
        <f t="shared" si="1"/>
        <v>0.75131480090157765</v>
      </c>
      <c r="E13" s="19">
        <f t="shared" si="1"/>
        <v>0.68301345536507052</v>
      </c>
      <c r="F13" s="19">
        <f t="shared" si="1"/>
        <v>0.62092132305915493</v>
      </c>
      <c r="G13" s="19">
        <f t="shared" si="1"/>
        <v>0.56447393005377711</v>
      </c>
      <c r="H13" s="19">
        <f t="shared" si="1"/>
        <v>0.51315811823070645</v>
      </c>
      <c r="I13" s="19">
        <f t="shared" ref="I13" si="2">H13/1.1</f>
        <v>0.46650738020973309</v>
      </c>
      <c r="J13" s="19">
        <f t="shared" ref="J13" si="3">I13/1.1</f>
        <v>0.42409761837248461</v>
      </c>
      <c r="K13" s="19">
        <f t="shared" ref="K13" si="4">J13/1.1</f>
        <v>0.38554328942953142</v>
      </c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36" t="s">
        <v>510</v>
      </c>
      <c r="B15" s="19">
        <f>B11*B13</f>
        <v>30.563518721590921</v>
      </c>
      <c r="C15" s="19">
        <f t="shared" ref="C15:K15" si="5">C11*C13</f>
        <v>36.561203718620867</v>
      </c>
      <c r="D15" s="19">
        <f t="shared" si="5"/>
        <v>36.978760271160077</v>
      </c>
      <c r="E15" s="19">
        <f t="shared" si="5"/>
        <v>38.545032208197661</v>
      </c>
      <c r="F15" s="19">
        <f t="shared" si="5"/>
        <v>40.049445577843883</v>
      </c>
      <c r="G15" s="19">
        <f t="shared" si="5"/>
        <v>41.571048964523108</v>
      </c>
      <c r="H15" s="19">
        <f t="shared" si="5"/>
        <v>42.497556157293317</v>
      </c>
      <c r="I15" s="19">
        <f t="shared" si="5"/>
        <v>43.615609721211541</v>
      </c>
      <c r="J15" s="19">
        <f t="shared" si="5"/>
        <v>44.596042452404497</v>
      </c>
      <c r="K15" s="19">
        <f t="shared" si="5"/>
        <v>45.564497185699565</v>
      </c>
    </row>
    <row r="16" spans="1:1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5">
      <c r="A17" s="36" t="s">
        <v>511</v>
      </c>
      <c r="B17" s="19">
        <f>SUM(B15:K15)</f>
        <v>400.5427149785454</v>
      </c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5">
      <c r="A19" s="36" t="s">
        <v>512</v>
      </c>
      <c r="B19" s="45">
        <f>'Project Glance'!B15</f>
        <v>315.50123854166668</v>
      </c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5">
      <c r="A21" s="133" t="s">
        <v>514</v>
      </c>
      <c r="B21" s="198">
        <f>B17-B19</f>
        <v>85.041476436878725</v>
      </c>
      <c r="C21" s="6"/>
      <c r="D21" s="6"/>
      <c r="E21" s="6"/>
      <c r="F21" s="6"/>
      <c r="G21" s="6"/>
      <c r="H21" s="6"/>
      <c r="I21" s="6"/>
      <c r="J21" s="6"/>
      <c r="K21" s="6"/>
    </row>
    <row r="22" spans="1:1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1" x14ac:dyDescent="0.25">
      <c r="A23" s="36" t="s">
        <v>515</v>
      </c>
      <c r="B23" s="45">
        <f>'Project Glance'!B23-'Project Glance'!B20</f>
        <v>128.05733854166667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  <row r="25" spans="1:11" x14ac:dyDescent="0.25">
      <c r="A25" s="133" t="s">
        <v>513</v>
      </c>
      <c r="B25" s="198">
        <f>B17-B23</f>
        <v>272.48537643687871</v>
      </c>
      <c r="C25" s="6"/>
      <c r="D25" s="6"/>
      <c r="E25" s="6"/>
      <c r="F25" s="6"/>
      <c r="G25" s="6"/>
      <c r="H25" s="6"/>
      <c r="I25" s="6"/>
      <c r="J25" s="6"/>
      <c r="K25" s="6"/>
    </row>
    <row r="26" spans="1:11" x14ac:dyDescent="0.25">
      <c r="A26"/>
      <c r="B26"/>
      <c r="C26"/>
      <c r="D26"/>
      <c r="E26"/>
      <c r="F26"/>
      <c r="G26"/>
      <c r="H26"/>
    </row>
    <row r="27" spans="1:11" x14ac:dyDescent="0.25">
      <c r="A27"/>
      <c r="B27"/>
      <c r="C27"/>
      <c r="D27"/>
      <c r="E27"/>
      <c r="F27"/>
      <c r="G27"/>
      <c r="H27"/>
    </row>
    <row r="28" spans="1:11" x14ac:dyDescent="0.25">
      <c r="A28"/>
      <c r="B28"/>
      <c r="C28"/>
      <c r="D28"/>
      <c r="E28"/>
      <c r="F28"/>
      <c r="G28"/>
      <c r="H28"/>
    </row>
    <row r="29" spans="1:11" x14ac:dyDescent="0.25">
      <c r="A29"/>
      <c r="B29"/>
      <c r="C29"/>
      <c r="D29"/>
      <c r="E29"/>
      <c r="F29"/>
      <c r="G29"/>
      <c r="H29"/>
    </row>
    <row r="30" spans="1:11" x14ac:dyDescent="0.25">
      <c r="A30"/>
      <c r="B30"/>
      <c r="C30"/>
      <c r="D30"/>
      <c r="E30"/>
      <c r="F30"/>
      <c r="G30"/>
      <c r="H30"/>
    </row>
    <row r="31" spans="1:11" x14ac:dyDescent="0.25">
      <c r="A31"/>
      <c r="B31"/>
      <c r="C31"/>
      <c r="D31"/>
      <c r="E31"/>
      <c r="F31"/>
      <c r="G31"/>
      <c r="H31"/>
    </row>
  </sheetData>
  <mergeCells count="1">
    <mergeCell ref="A2:H2"/>
  </mergeCells>
  <pageMargins left="0.7" right="0.7" top="0.75" bottom="0.75" header="0.3" footer="0.3"/>
  <pageSetup scale="7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topLeftCell="B1" zoomScale="60" zoomScaleNormal="80" workbookViewId="0">
      <selection activeCell="A19" sqref="A3:K19"/>
    </sheetView>
  </sheetViews>
  <sheetFormatPr defaultRowHeight="15" x14ac:dyDescent="0.25"/>
  <cols>
    <col min="1" max="1" width="32.7109375" style="1" bestFit="1" customWidth="1"/>
    <col min="2" max="2" width="11.140625" style="1" customWidth="1"/>
    <col min="3" max="3" width="11.28515625" style="1" customWidth="1"/>
    <col min="4" max="4" width="10.7109375" style="1" customWidth="1"/>
    <col min="5" max="5" width="11.42578125" style="1" customWidth="1"/>
    <col min="6" max="6" width="11.7109375" style="1" customWidth="1"/>
    <col min="7" max="7" width="10.28515625" style="1" customWidth="1"/>
    <col min="8" max="11" width="11.140625" style="1" customWidth="1"/>
    <col min="12" max="16384" width="9.140625" style="1"/>
  </cols>
  <sheetData>
    <row r="1" spans="1:13" x14ac:dyDescent="0.25">
      <c r="A1" s="363" t="s">
        <v>492</v>
      </c>
      <c r="B1" s="363"/>
      <c r="C1" s="363"/>
      <c r="D1" s="363"/>
      <c r="E1" s="363"/>
      <c r="F1" s="363"/>
      <c r="G1" s="363"/>
      <c r="H1" s="363"/>
      <c r="I1" s="234"/>
      <c r="J1" s="234"/>
      <c r="K1" s="234"/>
    </row>
    <row r="2" spans="1:13" x14ac:dyDescent="0.25">
      <c r="A2" s="222"/>
      <c r="B2" s="222"/>
      <c r="C2" s="222"/>
      <c r="D2" s="222"/>
      <c r="E2" s="222"/>
      <c r="F2" s="222"/>
      <c r="G2" s="222"/>
    </row>
    <row r="3" spans="1:13" x14ac:dyDescent="0.25">
      <c r="A3" s="241" t="s">
        <v>493</v>
      </c>
      <c r="B3" s="46" t="s">
        <v>36</v>
      </c>
      <c r="C3" s="46" t="s">
        <v>37</v>
      </c>
      <c r="D3" s="46" t="s">
        <v>38</v>
      </c>
      <c r="E3" s="46" t="s">
        <v>39</v>
      </c>
      <c r="F3" s="46" t="s">
        <v>40</v>
      </c>
      <c r="G3" s="46" t="s">
        <v>41</v>
      </c>
      <c r="H3" s="46" t="s">
        <v>42</v>
      </c>
      <c r="I3" s="46" t="s">
        <v>494</v>
      </c>
      <c r="J3" s="46" t="s">
        <v>495</v>
      </c>
      <c r="K3" s="46" t="s">
        <v>496</v>
      </c>
    </row>
    <row r="4" spans="1:13" x14ac:dyDescent="0.25">
      <c r="A4" s="224"/>
      <c r="B4" s="224"/>
      <c r="C4" s="224"/>
      <c r="D4" s="224"/>
      <c r="E4" s="224"/>
      <c r="F4" s="224"/>
      <c r="G4" s="224"/>
      <c r="H4" s="6"/>
      <c r="I4" s="6"/>
      <c r="J4" s="6"/>
      <c r="K4" s="6"/>
    </row>
    <row r="5" spans="1:13" x14ac:dyDescent="0.25">
      <c r="A5" s="224" t="s">
        <v>497</v>
      </c>
      <c r="B5" s="225">
        <f>'P&amp;L'!B36</f>
        <v>19.337647593750013</v>
      </c>
      <c r="C5" s="225">
        <f>'P&amp;L'!C36</f>
        <v>29.95683349953125</v>
      </c>
      <c r="D5" s="225">
        <f>'P&amp;L'!D36</f>
        <v>34.93650692091407</v>
      </c>
      <c r="E5" s="225">
        <f>'P&amp;L'!E36</f>
        <v>42.15155865602221</v>
      </c>
      <c r="F5" s="225">
        <f>'P&amp;L'!F36</f>
        <v>50.217809597573378</v>
      </c>
      <c r="G5" s="225">
        <f>'P&amp;L'!G36</f>
        <v>59.363426074639563</v>
      </c>
      <c r="H5" s="225">
        <f>'P&amp;L'!H36</f>
        <v>68.533491391927825</v>
      </c>
      <c r="I5" s="225">
        <f>'P&amp;L'!I36</f>
        <v>79.211709939716343</v>
      </c>
      <c r="J5" s="225">
        <f>'P&amp;L'!J36</f>
        <v>90.87291232838524</v>
      </c>
      <c r="K5" s="225">
        <f>'P&amp;L'!K36</f>
        <v>103.90034802365601</v>
      </c>
      <c r="L5" s="223"/>
    </row>
    <row r="6" spans="1:13" x14ac:dyDescent="0.25">
      <c r="A6" s="224"/>
      <c r="B6" s="225"/>
      <c r="C6" s="225"/>
      <c r="D6" s="225"/>
      <c r="E6" s="225"/>
      <c r="F6" s="225"/>
      <c r="G6" s="224"/>
      <c r="H6" s="6"/>
      <c r="I6" s="6"/>
      <c r="J6" s="6"/>
      <c r="K6" s="6"/>
    </row>
    <row r="7" spans="1:13" x14ac:dyDescent="0.25">
      <c r="A7" s="226" t="s">
        <v>505</v>
      </c>
      <c r="B7" s="225">
        <f>'P&amp;L'!B32</f>
        <v>12.794573</v>
      </c>
      <c r="C7" s="225">
        <f>'P&amp;L'!C32</f>
        <v>12.794573</v>
      </c>
      <c r="D7" s="225">
        <f>'P&amp;L'!D32</f>
        <v>12.794573</v>
      </c>
      <c r="E7" s="225">
        <f>'P&amp;L'!E32</f>
        <v>12.794573</v>
      </c>
      <c r="F7" s="225">
        <f>'P&amp;L'!F32</f>
        <v>12.794573</v>
      </c>
      <c r="G7" s="225">
        <f>'P&amp;L'!G32</f>
        <v>12.794573</v>
      </c>
      <c r="H7" s="225">
        <f>'P&amp;L'!H32</f>
        <v>12.794573</v>
      </c>
      <c r="I7" s="225">
        <f>'P&amp;L'!I32</f>
        <v>12.794573</v>
      </c>
      <c r="J7" s="225">
        <f>'P&amp;L'!J32</f>
        <v>12.794573</v>
      </c>
      <c r="K7" s="225">
        <f>'P&amp;L'!K32</f>
        <v>12.794573</v>
      </c>
    </row>
    <row r="8" spans="1:13" x14ac:dyDescent="0.25">
      <c r="A8" s="224" t="s">
        <v>498</v>
      </c>
      <c r="B8" s="227">
        <f>'P&amp;L'!B27</f>
        <v>1.4876500000000001</v>
      </c>
      <c r="C8" s="227">
        <f>'P&amp;L'!C27</f>
        <v>1.4876500000000001</v>
      </c>
      <c r="D8" s="227">
        <f>'P&amp;L'!D27</f>
        <v>1.4876500000000001</v>
      </c>
      <c r="E8" s="227">
        <f>'P&amp;L'!E27</f>
        <v>1.4876500000000001</v>
      </c>
      <c r="F8" s="227">
        <f>'P&amp;L'!F27</f>
        <v>1.4876500000000001</v>
      </c>
      <c r="G8" s="227">
        <f>'P&amp;L'!G27</f>
        <v>1.4876500000000001</v>
      </c>
      <c r="H8" s="227">
        <f>'P&amp;L'!H27</f>
        <v>1.4876500000000001</v>
      </c>
      <c r="I8" s="227">
        <f>'P&amp;L'!I27</f>
        <v>1.4876500000000001</v>
      </c>
      <c r="J8" s="227">
        <f>'P&amp;L'!J27</f>
        <v>1.4876500000000001</v>
      </c>
      <c r="K8" s="227">
        <f>'P&amp;L'!K27</f>
        <v>1.4876500000000001</v>
      </c>
    </row>
    <row r="9" spans="1:13" x14ac:dyDescent="0.25">
      <c r="A9" s="224"/>
      <c r="B9" s="224"/>
      <c r="C9" s="224"/>
      <c r="D9" s="224"/>
      <c r="E9" s="224"/>
      <c r="F9" s="224"/>
      <c r="G9" s="224"/>
      <c r="H9" s="6"/>
      <c r="I9" s="6"/>
      <c r="J9" s="6"/>
      <c r="K9" s="6"/>
    </row>
    <row r="10" spans="1:13" x14ac:dyDescent="0.25">
      <c r="A10" s="224" t="s">
        <v>499</v>
      </c>
      <c r="B10" s="225">
        <f>SUM(B5:B8)</f>
        <v>33.619870593750015</v>
      </c>
      <c r="C10" s="225">
        <f t="shared" ref="C10:K10" si="0">SUM(C5:C8)</f>
        <v>44.239056499531252</v>
      </c>
      <c r="D10" s="225">
        <f t="shared" si="0"/>
        <v>49.218729920914072</v>
      </c>
      <c r="E10" s="225">
        <f t="shared" si="0"/>
        <v>56.433781656022212</v>
      </c>
      <c r="F10" s="225">
        <f t="shared" si="0"/>
        <v>64.50003259757338</v>
      </c>
      <c r="G10" s="225">
        <f t="shared" si="0"/>
        <v>73.645649074639564</v>
      </c>
      <c r="H10" s="225">
        <f t="shared" si="0"/>
        <v>82.815714391927827</v>
      </c>
      <c r="I10" s="225">
        <f t="shared" si="0"/>
        <v>93.493932939716345</v>
      </c>
      <c r="J10" s="225">
        <f t="shared" si="0"/>
        <v>105.15513532838524</v>
      </c>
      <c r="K10" s="225">
        <f t="shared" si="0"/>
        <v>118.18257102365601</v>
      </c>
    </row>
    <row r="11" spans="1:13" x14ac:dyDescent="0.25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</row>
    <row r="12" spans="1:13" x14ac:dyDescent="0.25">
      <c r="A12" s="228" t="s">
        <v>707</v>
      </c>
      <c r="B12" s="72">
        <f>1/M12</f>
        <v>0.87133820120941752</v>
      </c>
      <c r="C12" s="229">
        <f t="shared" ref="C12:H12" si="1">B12/$M$12</f>
        <v>0.7592302608868633</v>
      </c>
      <c r="D12" s="229">
        <f t="shared" si="1"/>
        <v>0.66154632982491623</v>
      </c>
      <c r="E12" s="229">
        <f t="shared" si="1"/>
        <v>0.57643058904633449</v>
      </c>
      <c r="F12" s="229">
        <f t="shared" si="1"/>
        <v>0.502265992581718</v>
      </c>
      <c r="G12" s="229">
        <f t="shared" si="1"/>
        <v>0.43764354650481679</v>
      </c>
      <c r="H12" s="229">
        <f t="shared" si="1"/>
        <v>0.38133554058241714</v>
      </c>
      <c r="I12" s="229">
        <f t="shared" ref="I12:K12" si="2">H12/$M$12</f>
        <v>0.33227222398830419</v>
      </c>
      <c r="J12" s="229">
        <f t="shared" si="2"/>
        <v>0.28952148196182165</v>
      </c>
      <c r="K12" s="229">
        <f t="shared" si="2"/>
        <v>0.25227112730409851</v>
      </c>
      <c r="M12" s="1">
        <v>1.1476599999999999</v>
      </c>
    </row>
    <row r="13" spans="1:13" x14ac:dyDescent="0.25">
      <c r="A13" s="224" t="s">
        <v>500</v>
      </c>
      <c r="B13" s="225">
        <f t="shared" ref="B13:H13" si="3">B10*B12</f>
        <v>29.29427756805153</v>
      </c>
      <c r="C13" s="225">
        <f t="shared" si="3"/>
        <v>33.587630407527797</v>
      </c>
      <c r="D13" s="225">
        <f t="shared" si="3"/>
        <v>32.560470137824495</v>
      </c>
      <c r="E13" s="225">
        <f>E10*E12</f>
        <v>32.53015800209311</v>
      </c>
      <c r="F13" s="225">
        <f t="shared" si="3"/>
        <v>32.396172894173361</v>
      </c>
      <c r="G13" s="225">
        <f t="shared" si="3"/>
        <v>32.230543045674438</v>
      </c>
      <c r="H13" s="225">
        <f t="shared" si="3"/>
        <v>31.58057521636486</v>
      </c>
      <c r="I13" s="225">
        <f t="shared" ref="I13:K13" si="4">I10*I12</f>
        <v>31.065437027292919</v>
      </c>
      <c r="J13" s="225">
        <f t="shared" si="4"/>
        <v>30.444670616170001</v>
      </c>
      <c r="K13" s="225">
        <f t="shared" si="4"/>
        <v>29.814050419834388</v>
      </c>
    </row>
    <row r="14" spans="1:13" x14ac:dyDescent="0.25">
      <c r="A14" s="224" t="s">
        <v>501</v>
      </c>
      <c r="B14" s="364">
        <f>SUM(B13:K13)</f>
        <v>315.50398533500686</v>
      </c>
      <c r="C14" s="365"/>
      <c r="D14" s="365"/>
      <c r="E14" s="365"/>
      <c r="F14" s="365"/>
      <c r="G14" s="365"/>
      <c r="H14" s="365"/>
      <c r="I14" s="365"/>
      <c r="J14" s="365"/>
      <c r="K14" s="366"/>
    </row>
    <row r="15" spans="1:13" x14ac:dyDescent="0.25">
      <c r="A15" s="224"/>
      <c r="B15" s="225"/>
      <c r="C15" s="225"/>
      <c r="D15" s="225"/>
      <c r="E15" s="225"/>
      <c r="F15" s="225"/>
      <c r="G15" s="224"/>
      <c r="H15" s="6"/>
      <c r="I15" s="6"/>
      <c r="J15" s="6"/>
      <c r="K15" s="6"/>
    </row>
    <row r="16" spans="1:13" x14ac:dyDescent="0.25">
      <c r="A16" s="224" t="s">
        <v>502</v>
      </c>
      <c r="B16" s="364">
        <f>'Project Glance'!B15</f>
        <v>315.50123854166668</v>
      </c>
      <c r="C16" s="365"/>
      <c r="D16" s="365"/>
      <c r="E16" s="365"/>
      <c r="F16" s="365"/>
      <c r="G16" s="365"/>
      <c r="H16" s="365"/>
      <c r="I16" s="365"/>
      <c r="J16" s="365"/>
      <c r="K16" s="366"/>
    </row>
    <row r="17" spans="1:13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3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3" x14ac:dyDescent="0.25">
      <c r="A19" s="196" t="s">
        <v>503</v>
      </c>
      <c r="B19" s="282">
        <f>(M12*100)-100</f>
        <v>14.765999999999991</v>
      </c>
      <c r="C19" s="6"/>
      <c r="D19" s="6"/>
      <c r="E19" s="6"/>
      <c r="F19" s="6"/>
      <c r="G19" s="6"/>
      <c r="H19" s="6"/>
      <c r="I19" s="6"/>
      <c r="J19" s="6"/>
      <c r="K19" s="6"/>
    </row>
    <row r="20" spans="1:13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3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3" x14ac:dyDescent="0.25">
      <c r="A22" s="228" t="s">
        <v>704</v>
      </c>
      <c r="B22" s="72">
        <f>1/M22</f>
        <v>0.71710290426676226</v>
      </c>
      <c r="C22" s="229">
        <f t="shared" ref="C22:H22" si="5">B22/$M$22</f>
        <v>0.51423657530782518</v>
      </c>
      <c r="D22" s="229">
        <f t="shared" si="5"/>
        <v>0.36876054163343502</v>
      </c>
      <c r="E22" s="229">
        <f t="shared" si="5"/>
        <v>0.26443925538432056</v>
      </c>
      <c r="F22" s="229">
        <f t="shared" si="5"/>
        <v>0.18963015803823632</v>
      </c>
      <c r="G22" s="229">
        <f t="shared" si="5"/>
        <v>0.13598433706578439</v>
      </c>
      <c r="H22" s="229">
        <f t="shared" si="5"/>
        <v>9.7514763044664304E-2</v>
      </c>
      <c r="I22" s="229">
        <f t="shared" ref="I22:K22" si="6">H22/$M$22</f>
        <v>6.9928119788213908E-2</v>
      </c>
      <c r="J22" s="229">
        <f t="shared" si="6"/>
        <v>5.0145657790042243E-2</v>
      </c>
      <c r="K22" s="229">
        <f t="shared" si="6"/>
        <v>3.5959596837606481E-2</v>
      </c>
      <c r="M22" s="1">
        <v>1.3945000000000001</v>
      </c>
    </row>
    <row r="23" spans="1:13" x14ac:dyDescent="0.25">
      <c r="A23" s="224" t="s">
        <v>500</v>
      </c>
      <c r="B23" s="225">
        <f>ROUND(B10*B22,2)</f>
        <v>24.11</v>
      </c>
      <c r="C23" s="225">
        <f t="shared" ref="C23:H23" si="7">ROUND(C10*C22,2)</f>
        <v>22.75</v>
      </c>
      <c r="D23" s="225">
        <f t="shared" si="7"/>
        <v>18.149999999999999</v>
      </c>
      <c r="E23" s="225">
        <f t="shared" si="7"/>
        <v>14.92</v>
      </c>
      <c r="F23" s="225">
        <f t="shared" si="7"/>
        <v>12.23</v>
      </c>
      <c r="G23" s="225">
        <f t="shared" si="7"/>
        <v>10.01</v>
      </c>
      <c r="H23" s="225">
        <f t="shared" si="7"/>
        <v>8.08</v>
      </c>
      <c r="I23" s="225">
        <f t="shared" ref="I23:K23" si="8">ROUND(I10*I22,2)</f>
        <v>6.54</v>
      </c>
      <c r="J23" s="225">
        <f t="shared" si="8"/>
        <v>5.27</v>
      </c>
      <c r="K23" s="225">
        <f t="shared" si="8"/>
        <v>4.25</v>
      </c>
    </row>
    <row r="24" spans="1:13" x14ac:dyDescent="0.25">
      <c r="A24" s="224" t="s">
        <v>501</v>
      </c>
      <c r="B24" s="364">
        <f>SUM(B23:K23)</f>
        <v>126.31</v>
      </c>
      <c r="C24" s="365"/>
      <c r="D24" s="365"/>
      <c r="E24" s="365"/>
      <c r="F24" s="365"/>
      <c r="G24" s="365"/>
      <c r="H24" s="365"/>
      <c r="I24" s="365"/>
      <c r="J24" s="365"/>
      <c r="K24" s="366"/>
    </row>
    <row r="25" spans="1:13" x14ac:dyDescent="0.25">
      <c r="A25" s="224"/>
      <c r="B25" s="225"/>
      <c r="C25" s="225"/>
      <c r="D25" s="225"/>
      <c r="E25" s="225"/>
      <c r="F25" s="225"/>
      <c r="G25" s="224"/>
      <c r="H25" s="6"/>
      <c r="I25" s="6"/>
      <c r="J25" s="6"/>
      <c r="K25" s="6"/>
    </row>
    <row r="26" spans="1:13" x14ac:dyDescent="0.25">
      <c r="A26" s="224" t="s">
        <v>519</v>
      </c>
      <c r="B26" s="364">
        <f>'Project Glance'!B23-'Project Glance'!B20</f>
        <v>128.05733854166667</v>
      </c>
      <c r="C26" s="365"/>
      <c r="D26" s="365"/>
      <c r="E26" s="365"/>
      <c r="F26" s="365"/>
      <c r="G26" s="365"/>
      <c r="H26" s="365"/>
      <c r="I26" s="365"/>
      <c r="J26" s="365"/>
      <c r="K26" s="366"/>
    </row>
    <row r="27" spans="1:13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</row>
    <row r="28" spans="1:13" x14ac:dyDescent="0.25">
      <c r="A28" s="196" t="s">
        <v>504</v>
      </c>
      <c r="B28" s="196">
        <f>ROUND(M22*100,2)-100</f>
        <v>39.449999999999989</v>
      </c>
      <c r="C28" s="6"/>
      <c r="D28" s="6"/>
      <c r="E28" s="6"/>
      <c r="F28" s="6"/>
      <c r="G28" s="6"/>
      <c r="H28" s="6"/>
      <c r="I28" s="6"/>
      <c r="J28" s="6"/>
      <c r="K28" s="6"/>
    </row>
  </sheetData>
  <mergeCells count="5">
    <mergeCell ref="A1:H1"/>
    <mergeCell ref="B14:K14"/>
    <mergeCell ref="B16:K16"/>
    <mergeCell ref="B24:K24"/>
    <mergeCell ref="B26:K26"/>
  </mergeCells>
  <pageMargins left="0.7" right="0.7" top="0.75" bottom="0.75" header="0.3" footer="0.3"/>
  <pageSetup scale="62" orientation="portrait" r:id="rId1"/>
  <colBreaks count="1" manualBreakCount="1">
    <brk id="11" max="1048575" man="1"/>
  </colBreaks>
  <cellWatches>
    <cellWatch r="B14"/>
    <cellWatch r="B16"/>
  </cellWatch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view="pageBreakPreview" zoomScale="60" zoomScaleNormal="100" workbookViewId="0">
      <selection activeCell="L19" sqref="L19"/>
    </sheetView>
  </sheetViews>
  <sheetFormatPr defaultRowHeight="15" x14ac:dyDescent="0.25"/>
  <cols>
    <col min="1" max="1" width="36.85546875" style="1" customWidth="1"/>
    <col min="2" max="2" width="11" style="1" customWidth="1"/>
    <col min="3" max="3" width="10.85546875" style="1" customWidth="1"/>
    <col min="4" max="4" width="11" style="1" customWidth="1"/>
    <col min="5" max="5" width="12.42578125" style="1" customWidth="1"/>
    <col min="6" max="6" width="11.5703125" style="1" customWidth="1"/>
    <col min="7" max="16384" width="9.140625" style="1"/>
  </cols>
  <sheetData>
    <row r="2" spans="1:7" x14ac:dyDescent="0.25">
      <c r="A2" s="233" t="s">
        <v>525</v>
      </c>
      <c r="B2" s="233"/>
      <c r="C2" s="233"/>
      <c r="D2" s="233"/>
      <c r="E2" s="233"/>
      <c r="F2" s="233"/>
    </row>
    <row r="3" spans="1:7" x14ac:dyDescent="0.25">
      <c r="A3" s="234"/>
      <c r="B3" s="234"/>
      <c r="C3" s="234"/>
      <c r="D3" s="234"/>
      <c r="E3" s="234"/>
      <c r="F3" s="234"/>
    </row>
    <row r="4" spans="1:7" x14ac:dyDescent="0.25">
      <c r="A4" s="46" t="s">
        <v>1</v>
      </c>
      <c r="B4" s="46" t="s">
        <v>36</v>
      </c>
      <c r="C4" s="46" t="s">
        <v>37</v>
      </c>
      <c r="D4" s="46" t="s">
        <v>38</v>
      </c>
      <c r="E4" s="46" t="s">
        <v>39</v>
      </c>
      <c r="F4" s="46" t="s">
        <v>40</v>
      </c>
      <c r="G4" s="46" t="s">
        <v>41</v>
      </c>
    </row>
    <row r="5" spans="1:7" x14ac:dyDescent="0.25">
      <c r="A5" s="231"/>
      <c r="B5" s="235"/>
      <c r="C5" s="235"/>
      <c r="D5" s="235"/>
      <c r="E5" s="235"/>
      <c r="F5" s="235"/>
      <c r="G5" s="6"/>
    </row>
    <row r="6" spans="1:7" x14ac:dyDescent="0.25">
      <c r="A6" s="236" t="s">
        <v>526</v>
      </c>
      <c r="B6" s="224"/>
      <c r="C6" s="224"/>
      <c r="D6" s="224"/>
      <c r="E6" s="224"/>
      <c r="F6" s="224"/>
      <c r="G6" s="6"/>
    </row>
    <row r="7" spans="1:7" x14ac:dyDescent="0.25">
      <c r="A7" s="231" t="s">
        <v>324</v>
      </c>
      <c r="B7" s="225">
        <f>BS!C20</f>
        <v>0</v>
      </c>
      <c r="C7" s="225">
        <f>BS!D20</f>
        <v>0</v>
      </c>
      <c r="D7" s="225">
        <f>BS!E20</f>
        <v>0</v>
      </c>
      <c r="E7" s="225">
        <f>BS!F20</f>
        <v>0</v>
      </c>
      <c r="F7" s="225">
        <f>BS!G20</f>
        <v>0</v>
      </c>
      <c r="G7" s="225">
        <f>BS!H20</f>
        <v>0</v>
      </c>
    </row>
    <row r="8" spans="1:7" x14ac:dyDescent="0.25">
      <c r="A8" s="224"/>
      <c r="B8" s="225"/>
      <c r="C8" s="225"/>
      <c r="D8" s="225"/>
      <c r="E8" s="225"/>
      <c r="F8" s="225"/>
      <c r="G8" s="6"/>
    </row>
    <row r="9" spans="1:7" x14ac:dyDescent="0.25">
      <c r="A9" s="224" t="s">
        <v>527</v>
      </c>
      <c r="B9" s="225">
        <f>SUM(B7:B8)</f>
        <v>0</v>
      </c>
      <c r="C9" s="225">
        <f t="shared" ref="C9:F9" si="0">SUM(C7:C8)</f>
        <v>0</v>
      </c>
      <c r="D9" s="225">
        <f t="shared" si="0"/>
        <v>0</v>
      </c>
      <c r="E9" s="225">
        <f t="shared" si="0"/>
        <v>0</v>
      </c>
      <c r="F9" s="225">
        <f t="shared" si="0"/>
        <v>0</v>
      </c>
      <c r="G9" s="225">
        <f>SUM(G7:G8)</f>
        <v>0</v>
      </c>
    </row>
    <row r="10" spans="1:7" x14ac:dyDescent="0.25">
      <c r="A10" s="224"/>
      <c r="B10" s="224"/>
      <c r="C10" s="224"/>
      <c r="D10" s="224"/>
      <c r="E10" s="224"/>
      <c r="F10" s="224"/>
      <c r="G10" s="6"/>
    </row>
    <row r="11" spans="1:7" x14ac:dyDescent="0.25">
      <c r="A11" s="236" t="s">
        <v>528</v>
      </c>
      <c r="B11" s="224"/>
      <c r="C11" s="224"/>
      <c r="D11" s="224"/>
      <c r="E11" s="224"/>
      <c r="F11" s="224"/>
      <c r="G11" s="6"/>
    </row>
    <row r="12" spans="1:7" x14ac:dyDescent="0.25">
      <c r="A12" s="224" t="s">
        <v>529</v>
      </c>
      <c r="B12" s="224"/>
      <c r="C12" s="224"/>
      <c r="D12" s="224"/>
      <c r="E12" s="224"/>
      <c r="F12" s="224"/>
      <c r="G12" s="6"/>
    </row>
    <row r="13" spans="1:7" x14ac:dyDescent="0.25">
      <c r="A13" s="231" t="s">
        <v>530</v>
      </c>
      <c r="B13" s="225">
        <f>BS!C9</f>
        <v>128.05733854166667</v>
      </c>
      <c r="C13" s="225">
        <f>BS!D9</f>
        <v>128.05733854166667</v>
      </c>
      <c r="D13" s="225">
        <f>BS!E9</f>
        <v>128.05733854166667</v>
      </c>
      <c r="E13" s="225">
        <f>BS!F9</f>
        <v>128.05733854166667</v>
      </c>
      <c r="F13" s="225">
        <f>BS!G9</f>
        <v>128.05733854166667</v>
      </c>
      <c r="G13" s="225">
        <f>BS!H9</f>
        <v>128.05733854166667</v>
      </c>
    </row>
    <row r="14" spans="1:7" x14ac:dyDescent="0.25">
      <c r="A14" s="231" t="s">
        <v>531</v>
      </c>
      <c r="B14" s="225">
        <f>BS!C13+BS!C19</f>
        <v>206.78154759375002</v>
      </c>
      <c r="C14" s="225">
        <f>BS!D13+BS!D19</f>
        <v>236.73838109328128</v>
      </c>
      <c r="D14" s="225">
        <f>BS!E13+BS!E19</f>
        <v>271.67488801419535</v>
      </c>
      <c r="E14" s="225">
        <f>BS!F13+BS!F19</f>
        <v>313.82644667021759</v>
      </c>
      <c r="F14" s="225">
        <f>BS!G13+BS!G19</f>
        <v>364.04425626779096</v>
      </c>
      <c r="G14" s="225">
        <f>BS!H13+BS!H19</f>
        <v>423.40768234243046</v>
      </c>
    </row>
    <row r="15" spans="1:7" x14ac:dyDescent="0.25">
      <c r="A15" s="224"/>
      <c r="B15" s="225"/>
      <c r="C15" s="225"/>
      <c r="D15" s="225"/>
      <c r="E15" s="225"/>
      <c r="F15" s="225"/>
      <c r="G15" s="6"/>
    </row>
    <row r="16" spans="1:7" x14ac:dyDescent="0.25">
      <c r="A16" s="224" t="s">
        <v>527</v>
      </c>
      <c r="B16" s="225">
        <f>SUM(B13:B15)</f>
        <v>334.83888613541671</v>
      </c>
      <c r="C16" s="225">
        <f t="shared" ref="C16:G16" si="1">SUM(C13:C15)</f>
        <v>364.79571963494794</v>
      </c>
      <c r="D16" s="225">
        <f t="shared" si="1"/>
        <v>399.73222655586198</v>
      </c>
      <c r="E16" s="225">
        <f t="shared" si="1"/>
        <v>441.88378521188429</v>
      </c>
      <c r="F16" s="225">
        <f t="shared" si="1"/>
        <v>492.10159480945765</v>
      </c>
      <c r="G16" s="225">
        <f t="shared" si="1"/>
        <v>551.46502088409716</v>
      </c>
    </row>
    <row r="17" spans="1:7" x14ac:dyDescent="0.25">
      <c r="A17" s="224"/>
      <c r="B17" s="224"/>
      <c r="C17" s="224"/>
      <c r="D17" s="224"/>
      <c r="E17" s="224"/>
      <c r="F17" s="224"/>
      <c r="G17" s="6"/>
    </row>
    <row r="18" spans="1:7" x14ac:dyDescent="0.25">
      <c r="A18" s="237" t="s">
        <v>532</v>
      </c>
      <c r="B18" s="227">
        <f>B9/B16</f>
        <v>0</v>
      </c>
      <c r="C18" s="227">
        <f t="shared" ref="C18:G18" si="2">C9/C16</f>
        <v>0</v>
      </c>
      <c r="D18" s="227">
        <f t="shared" si="2"/>
        <v>0</v>
      </c>
      <c r="E18" s="227">
        <f t="shared" si="2"/>
        <v>0</v>
      </c>
      <c r="F18" s="227">
        <f t="shared" si="2"/>
        <v>0</v>
      </c>
      <c r="G18" s="227">
        <f t="shared" si="2"/>
        <v>0</v>
      </c>
    </row>
    <row r="19" spans="1:7" s="3" customFormat="1" x14ac:dyDescent="0.25">
      <c r="A19" s="239" t="s">
        <v>545</v>
      </c>
      <c r="B19" s="367">
        <f>SUM(B18:F18)/6</f>
        <v>0</v>
      </c>
      <c r="C19" s="368"/>
      <c r="D19" s="368"/>
      <c r="E19" s="368"/>
      <c r="F19" s="368"/>
      <c r="G19" s="369"/>
    </row>
    <row r="20" spans="1:7" x14ac:dyDescent="0.25">
      <c r="A20" s="6"/>
      <c r="B20" s="6"/>
      <c r="C20" s="6"/>
      <c r="D20" s="6"/>
      <c r="E20" s="6"/>
      <c r="F20" s="6"/>
      <c r="G20" s="6"/>
    </row>
    <row r="21" spans="1:7" x14ac:dyDescent="0.25">
      <c r="A21" s="237"/>
      <c r="B21" s="45"/>
      <c r="C21" s="6"/>
      <c r="D21" s="6"/>
      <c r="E21" s="6"/>
      <c r="F21" s="6"/>
      <c r="G21" s="6"/>
    </row>
    <row r="22" spans="1:7" x14ac:dyDescent="0.25">
      <c r="A22" s="236" t="s">
        <v>526</v>
      </c>
      <c r="B22" s="224"/>
      <c r="C22" s="224"/>
      <c r="D22" s="224"/>
      <c r="E22" s="224"/>
      <c r="F22" s="224"/>
      <c r="G22" s="6"/>
    </row>
    <row r="23" spans="1:7" x14ac:dyDescent="0.25">
      <c r="A23" s="231" t="s">
        <v>324</v>
      </c>
      <c r="B23" s="225">
        <f>B7</f>
        <v>0</v>
      </c>
      <c r="C23" s="225">
        <f t="shared" ref="C23:G23" si="3">C7</f>
        <v>0</v>
      </c>
      <c r="D23" s="225">
        <f t="shared" si="3"/>
        <v>0</v>
      </c>
      <c r="E23" s="225">
        <f t="shared" si="3"/>
        <v>0</v>
      </c>
      <c r="F23" s="225">
        <f t="shared" si="3"/>
        <v>0</v>
      </c>
      <c r="G23" s="225">
        <f t="shared" si="3"/>
        <v>0</v>
      </c>
    </row>
    <row r="24" spans="1:7" x14ac:dyDescent="0.25">
      <c r="A24" s="224"/>
      <c r="B24" s="225"/>
      <c r="C24" s="225"/>
      <c r="D24" s="225"/>
      <c r="E24" s="225"/>
      <c r="F24" s="225"/>
      <c r="G24" s="6"/>
    </row>
    <row r="25" spans="1:7" x14ac:dyDescent="0.25">
      <c r="A25" s="224" t="s">
        <v>527</v>
      </c>
      <c r="B25" s="225">
        <f>SUM(B23:B24)</f>
        <v>0</v>
      </c>
      <c r="C25" s="225">
        <f t="shared" ref="C25:G25" si="4">SUM(C23:C24)</f>
        <v>0</v>
      </c>
      <c r="D25" s="225">
        <f t="shared" si="4"/>
        <v>0</v>
      </c>
      <c r="E25" s="225">
        <f t="shared" si="4"/>
        <v>0</v>
      </c>
      <c r="F25" s="225">
        <f t="shared" si="4"/>
        <v>0</v>
      </c>
      <c r="G25" s="225">
        <f t="shared" si="4"/>
        <v>0</v>
      </c>
    </row>
    <row r="26" spans="1:7" x14ac:dyDescent="0.25">
      <c r="A26" s="224"/>
      <c r="B26" s="224"/>
      <c r="C26" s="224"/>
      <c r="D26" s="224"/>
      <c r="E26" s="224"/>
      <c r="F26" s="224"/>
      <c r="G26" s="6"/>
    </row>
    <row r="27" spans="1:7" x14ac:dyDescent="0.25">
      <c r="A27" s="236" t="s">
        <v>528</v>
      </c>
      <c r="B27" s="224"/>
      <c r="C27" s="224"/>
      <c r="D27" s="224"/>
      <c r="E27" s="224"/>
      <c r="F27" s="224"/>
      <c r="G27" s="6"/>
    </row>
    <row r="28" spans="1:7" x14ac:dyDescent="0.25">
      <c r="A28" s="224" t="s">
        <v>529</v>
      </c>
      <c r="B28" s="224"/>
      <c r="C28" s="224"/>
      <c r="D28" s="224"/>
      <c r="E28" s="224"/>
      <c r="F28" s="224"/>
      <c r="G28" s="6"/>
    </row>
    <row r="29" spans="1:7" x14ac:dyDescent="0.25">
      <c r="A29" s="231" t="s">
        <v>530</v>
      </c>
      <c r="B29" s="225">
        <f>B13</f>
        <v>128.05733854166667</v>
      </c>
      <c r="C29" s="225">
        <f t="shared" ref="C29:G29" si="5">C13</f>
        <v>128.05733854166667</v>
      </c>
      <c r="D29" s="225">
        <f t="shared" si="5"/>
        <v>128.05733854166667</v>
      </c>
      <c r="E29" s="225">
        <f t="shared" si="5"/>
        <v>128.05733854166667</v>
      </c>
      <c r="F29" s="225">
        <f t="shared" si="5"/>
        <v>128.05733854166667</v>
      </c>
      <c r="G29" s="225">
        <f t="shared" si="5"/>
        <v>128.05733854166667</v>
      </c>
    </row>
    <row r="30" spans="1:7" x14ac:dyDescent="0.25">
      <c r="A30" s="231" t="s">
        <v>533</v>
      </c>
      <c r="B30" s="225">
        <f>BS!C19</f>
        <v>19.337647593750013</v>
      </c>
      <c r="C30" s="225">
        <f>BS!D19</f>
        <v>49.294481093281263</v>
      </c>
      <c r="D30" s="225">
        <f>BS!E19</f>
        <v>84.230988014195333</v>
      </c>
      <c r="E30" s="225">
        <f>BS!F19</f>
        <v>126.38254667021755</v>
      </c>
      <c r="F30" s="225">
        <f>BS!G19</f>
        <v>176.60035626779091</v>
      </c>
      <c r="G30" s="225">
        <f>BS!H19</f>
        <v>235.96378234243048</v>
      </c>
    </row>
    <row r="31" spans="1:7" x14ac:dyDescent="0.25">
      <c r="A31" s="224"/>
      <c r="B31" s="225"/>
      <c r="C31" s="225"/>
      <c r="D31" s="225"/>
      <c r="E31" s="225"/>
      <c r="F31" s="225"/>
      <c r="G31" s="6"/>
    </row>
    <row r="32" spans="1:7" x14ac:dyDescent="0.25">
      <c r="A32" s="224" t="s">
        <v>527</v>
      </c>
      <c r="B32" s="225">
        <f>SUM(B29:B31)</f>
        <v>147.39498613541667</v>
      </c>
      <c r="C32" s="225">
        <f t="shared" ref="C32:G32" si="6">SUM(C29:C31)</f>
        <v>177.35181963494793</v>
      </c>
      <c r="D32" s="225">
        <f t="shared" si="6"/>
        <v>212.288326555862</v>
      </c>
      <c r="E32" s="225">
        <f t="shared" si="6"/>
        <v>254.43988521188422</v>
      </c>
      <c r="F32" s="225">
        <f t="shared" si="6"/>
        <v>304.65769480945755</v>
      </c>
      <c r="G32" s="225">
        <f t="shared" si="6"/>
        <v>364.02112088409717</v>
      </c>
    </row>
    <row r="33" spans="1:7" x14ac:dyDescent="0.25">
      <c r="A33" s="224"/>
      <c r="B33" s="224"/>
      <c r="C33" s="224"/>
      <c r="D33" s="224"/>
      <c r="E33" s="224"/>
      <c r="F33" s="224"/>
      <c r="G33" s="6"/>
    </row>
    <row r="34" spans="1:7" x14ac:dyDescent="0.25">
      <c r="A34" s="237" t="s">
        <v>534</v>
      </c>
      <c r="B34" s="227">
        <f>B25/B32</f>
        <v>0</v>
      </c>
      <c r="C34" s="227">
        <f t="shared" ref="C34:G34" si="7">C25/C32</f>
        <v>0</v>
      </c>
      <c r="D34" s="227">
        <f t="shared" si="7"/>
        <v>0</v>
      </c>
      <c r="E34" s="227">
        <f t="shared" si="7"/>
        <v>0</v>
      </c>
      <c r="F34" s="227">
        <f t="shared" si="7"/>
        <v>0</v>
      </c>
      <c r="G34" s="227">
        <f t="shared" si="7"/>
        <v>0</v>
      </c>
    </row>
    <row r="35" spans="1:7" x14ac:dyDescent="0.25">
      <c r="A35" s="239" t="s">
        <v>546</v>
      </c>
      <c r="B35" s="367">
        <f>SUM(B34:G34)/6</f>
        <v>0</v>
      </c>
      <c r="C35" s="368"/>
      <c r="D35" s="368"/>
      <c r="E35" s="368"/>
      <c r="F35" s="368"/>
      <c r="G35" s="369"/>
    </row>
  </sheetData>
  <mergeCells count="2">
    <mergeCell ref="B19:G19"/>
    <mergeCell ref="B35:G35"/>
  </mergeCells>
  <pageMargins left="0.7" right="0.7" top="0.75" bottom="0.7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"/>
  <sheetViews>
    <sheetView topLeftCell="A3" workbookViewId="0">
      <selection activeCell="E4" sqref="E4:E6"/>
    </sheetView>
  </sheetViews>
  <sheetFormatPr defaultRowHeight="15" x14ac:dyDescent="0.25"/>
  <cols>
    <col min="1" max="1" width="9.140625" style="1"/>
    <col min="2" max="2" width="24.42578125" style="1" bestFit="1" customWidth="1"/>
    <col min="3" max="3" width="28.42578125" style="1" bestFit="1" customWidth="1"/>
    <col min="4" max="4" width="9.140625" style="1"/>
    <col min="5" max="5" width="9.7109375" style="1" bestFit="1" customWidth="1"/>
    <col min="6" max="6" width="9.7109375" style="1" customWidth="1"/>
    <col min="7" max="7" width="14.140625" style="1" bestFit="1" customWidth="1"/>
    <col min="8" max="16384" width="9.140625" style="1"/>
  </cols>
  <sheetData>
    <row r="2" spans="1:7" x14ac:dyDescent="0.25">
      <c r="A2" s="16" t="s">
        <v>0</v>
      </c>
      <c r="B2" s="16" t="s">
        <v>1</v>
      </c>
      <c r="C2" s="16" t="s">
        <v>2</v>
      </c>
      <c r="D2" s="16"/>
      <c r="E2" s="16" t="s">
        <v>3</v>
      </c>
      <c r="F2" s="132"/>
    </row>
    <row r="3" spans="1:7" x14ac:dyDescent="0.25">
      <c r="A3" s="7">
        <v>1</v>
      </c>
      <c r="B3" s="8" t="s">
        <v>4</v>
      </c>
      <c r="C3" s="6"/>
      <c r="D3" s="6"/>
      <c r="E3" s="9">
        <v>0</v>
      </c>
      <c r="F3" s="123"/>
    </row>
    <row r="4" spans="1:7" ht="45" x14ac:dyDescent="0.25">
      <c r="A4" s="7">
        <v>2</v>
      </c>
      <c r="B4" s="8" t="s">
        <v>5</v>
      </c>
      <c r="C4" s="10" t="s">
        <v>6</v>
      </c>
      <c r="D4" s="6"/>
      <c r="E4" s="9">
        <v>60</v>
      </c>
      <c r="F4" s="123"/>
      <c r="G4" s="1" t="s">
        <v>368</v>
      </c>
    </row>
    <row r="5" spans="1:7" x14ac:dyDescent="0.25">
      <c r="A5" s="7">
        <v>3</v>
      </c>
      <c r="B5" s="8" t="s">
        <v>7</v>
      </c>
      <c r="C5" s="6" t="s">
        <v>8</v>
      </c>
      <c r="D5" s="6"/>
      <c r="E5" s="9">
        <v>10</v>
      </c>
      <c r="F5" s="123"/>
      <c r="G5" s="1" t="s">
        <v>369</v>
      </c>
    </row>
    <row r="6" spans="1:7" x14ac:dyDescent="0.25">
      <c r="A6" s="7">
        <v>4</v>
      </c>
      <c r="B6" s="8" t="s">
        <v>9</v>
      </c>
      <c r="C6" s="6"/>
      <c r="D6" s="6"/>
      <c r="E6" s="9">
        <f>SUM(D7:D11)</f>
        <v>83</v>
      </c>
      <c r="F6" s="123"/>
      <c r="G6" s="1" t="s">
        <v>368</v>
      </c>
    </row>
    <row r="7" spans="1:7" x14ac:dyDescent="0.25">
      <c r="A7" s="6"/>
      <c r="B7" s="6" t="s">
        <v>10</v>
      </c>
      <c r="C7" s="6" t="s">
        <v>11</v>
      </c>
      <c r="D7" s="9">
        <v>10</v>
      </c>
      <c r="E7" s="9"/>
      <c r="F7" s="123"/>
      <c r="G7" s="1" t="s">
        <v>368</v>
      </c>
    </row>
    <row r="8" spans="1:7" x14ac:dyDescent="0.25">
      <c r="A8" s="6"/>
      <c r="B8" s="6" t="s">
        <v>12</v>
      </c>
      <c r="C8" s="6" t="s">
        <v>74</v>
      </c>
      <c r="D8" s="9">
        <f>25*2</f>
        <v>50</v>
      </c>
      <c r="E8" s="9"/>
      <c r="F8" s="123"/>
      <c r="G8" s="1" t="s">
        <v>33</v>
      </c>
    </row>
    <row r="9" spans="1:7" ht="75" x14ac:dyDescent="0.25">
      <c r="A9" s="6"/>
      <c r="B9" s="6" t="s">
        <v>13</v>
      </c>
      <c r="C9" s="10" t="s">
        <v>14</v>
      </c>
      <c r="D9" s="9">
        <v>10</v>
      </c>
      <c r="E9" s="9"/>
      <c r="F9" s="123"/>
      <c r="G9" s="5" t="s">
        <v>397</v>
      </c>
    </row>
    <row r="10" spans="1:7" ht="75" x14ac:dyDescent="0.25">
      <c r="A10" s="6"/>
      <c r="B10" s="6" t="s">
        <v>15</v>
      </c>
      <c r="C10" s="10" t="s">
        <v>16</v>
      </c>
      <c r="D10" s="9">
        <v>12</v>
      </c>
      <c r="E10" s="9"/>
      <c r="F10" s="123"/>
      <c r="G10" s="1" t="s">
        <v>368</v>
      </c>
    </row>
    <row r="11" spans="1:7" ht="30" x14ac:dyDescent="0.25">
      <c r="A11" s="6"/>
      <c r="B11" s="10" t="s">
        <v>17</v>
      </c>
      <c r="C11" s="6" t="s">
        <v>18</v>
      </c>
      <c r="D11" s="9">
        <v>1</v>
      </c>
      <c r="E11" s="9"/>
      <c r="F11" s="123"/>
      <c r="G11" s="1" t="s">
        <v>368</v>
      </c>
    </row>
    <row r="12" spans="1:7" x14ac:dyDescent="0.25">
      <c r="A12" s="6"/>
      <c r="B12" s="6"/>
      <c r="C12" s="6"/>
      <c r="D12" s="6"/>
      <c r="E12" s="9"/>
      <c r="F12" s="123"/>
    </row>
    <row r="13" spans="1:7" x14ac:dyDescent="0.25">
      <c r="A13" s="7">
        <v>5</v>
      </c>
      <c r="B13" s="8" t="s">
        <v>19</v>
      </c>
      <c r="C13" s="6" t="s">
        <v>20</v>
      </c>
      <c r="D13" s="6"/>
      <c r="E13" s="9">
        <f>ROUND(($E$6+$E$4+$E$5)*3%,0)</f>
        <v>5</v>
      </c>
      <c r="F13" s="123"/>
    </row>
    <row r="14" spans="1:7" x14ac:dyDescent="0.25">
      <c r="A14" s="7">
        <v>6</v>
      </c>
      <c r="B14" s="8" t="s">
        <v>21</v>
      </c>
      <c r="C14" s="6" t="s">
        <v>22</v>
      </c>
      <c r="D14" s="6"/>
      <c r="E14" s="9">
        <f>ROUND(($E$6+$E$4+$E$5)*2%,0)</f>
        <v>3</v>
      </c>
      <c r="F14" s="123"/>
    </row>
    <row r="15" spans="1:7" x14ac:dyDescent="0.25">
      <c r="A15" s="7">
        <v>7</v>
      </c>
      <c r="B15" s="8" t="s">
        <v>23</v>
      </c>
      <c r="C15" s="6" t="s">
        <v>367</v>
      </c>
      <c r="D15" s="6"/>
      <c r="E15" s="9">
        <f>'WC Assessment'!C13</f>
        <v>3.0947385416666662</v>
      </c>
      <c r="F15" s="123"/>
    </row>
    <row r="16" spans="1:7" x14ac:dyDescent="0.25">
      <c r="A16" s="6"/>
      <c r="B16" s="6"/>
      <c r="C16" s="6"/>
      <c r="D16" s="6"/>
      <c r="E16" s="6"/>
      <c r="F16" s="23"/>
    </row>
    <row r="17" spans="1:6" x14ac:dyDescent="0.25">
      <c r="A17" s="6"/>
      <c r="B17" s="326" t="s">
        <v>24</v>
      </c>
      <c r="C17" s="326"/>
      <c r="D17" s="6"/>
      <c r="E17" s="11">
        <f>SUM(E4:E15)</f>
        <v>164.09473854166666</v>
      </c>
      <c r="F17" s="124"/>
    </row>
  </sheetData>
  <mergeCells count="1">
    <mergeCell ref="B17:C1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5" x14ac:dyDescent="0.25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19" sqref="C19"/>
    </sheetView>
  </sheetViews>
  <sheetFormatPr defaultRowHeight="15" x14ac:dyDescent="0.25"/>
  <cols>
    <col min="1" max="1" width="21.42578125" style="1" customWidth="1"/>
    <col min="2" max="5" width="9.28515625" style="1" bestFit="1" customWidth="1"/>
    <col min="6" max="7" width="9.5703125" style="1" bestFit="1" customWidth="1"/>
    <col min="8" max="8" width="9.28515625" style="1" bestFit="1" customWidth="1"/>
    <col min="9" max="16384" width="9.140625" style="1"/>
  </cols>
  <sheetData>
    <row r="1" spans="1:9" x14ac:dyDescent="0.25">
      <c r="A1" s="350" t="s">
        <v>544</v>
      </c>
      <c r="B1" s="350"/>
      <c r="C1" s="350"/>
      <c r="D1" s="350"/>
      <c r="E1" s="350"/>
      <c r="F1" s="350"/>
      <c r="G1" s="350"/>
      <c r="H1" s="350"/>
    </row>
    <row r="3" spans="1:9" x14ac:dyDescent="0.25">
      <c r="A3" s="6" t="s">
        <v>1</v>
      </c>
      <c r="B3" s="6" t="s">
        <v>36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6" t="s">
        <v>42</v>
      </c>
    </row>
    <row r="4" spans="1:9" x14ac:dyDescent="0.25">
      <c r="A4" s="6" t="s">
        <v>535</v>
      </c>
      <c r="B4" s="19">
        <f>'P&amp;L'!B36</f>
        <v>19.337647593750013</v>
      </c>
      <c r="C4" s="19">
        <f>'P&amp;L'!C36</f>
        <v>29.95683349953125</v>
      </c>
      <c r="D4" s="19">
        <f>'P&amp;L'!D36</f>
        <v>34.93650692091407</v>
      </c>
      <c r="E4" s="19">
        <f>'P&amp;L'!E36</f>
        <v>42.15155865602221</v>
      </c>
      <c r="F4" s="19">
        <f>'P&amp;L'!F36</f>
        <v>50.217809597573378</v>
      </c>
      <c r="G4" s="19">
        <f>'P&amp;L'!G36</f>
        <v>59.363426074639563</v>
      </c>
      <c r="H4" s="19">
        <f>'P&amp;L'!H36</f>
        <v>68.533491391927825</v>
      </c>
      <c r="I4" s="13"/>
    </row>
    <row r="5" spans="1:9" ht="30" x14ac:dyDescent="0.25">
      <c r="A5" s="10" t="s">
        <v>536</v>
      </c>
      <c r="B5" s="19">
        <f>'P&amp;L'!B32</f>
        <v>12.794573</v>
      </c>
      <c r="C5" s="19">
        <f>'P&amp;L'!C32</f>
        <v>12.794573</v>
      </c>
      <c r="D5" s="19">
        <f>'P&amp;L'!D32</f>
        <v>12.794573</v>
      </c>
      <c r="E5" s="19">
        <f>'P&amp;L'!E32</f>
        <v>12.794573</v>
      </c>
      <c r="F5" s="19">
        <f>'P&amp;L'!F32</f>
        <v>12.794573</v>
      </c>
      <c r="G5" s="19">
        <f>'P&amp;L'!G32</f>
        <v>12.794573</v>
      </c>
      <c r="H5" s="19">
        <f>'P&amp;L'!H32</f>
        <v>12.794573</v>
      </c>
    </row>
    <row r="6" spans="1:9" ht="30" x14ac:dyDescent="0.25">
      <c r="A6" s="10" t="s">
        <v>537</v>
      </c>
      <c r="B6" s="19">
        <f>'P&amp;L'!B27</f>
        <v>1.4876500000000001</v>
      </c>
      <c r="C6" s="19">
        <f>'P&amp;L'!C27</f>
        <v>1.4876500000000001</v>
      </c>
      <c r="D6" s="19">
        <f>'P&amp;L'!D27</f>
        <v>1.4876500000000001</v>
      </c>
      <c r="E6" s="19">
        <f>'P&amp;L'!E27</f>
        <v>1.4876500000000001</v>
      </c>
      <c r="F6" s="19">
        <f>'P&amp;L'!F27</f>
        <v>1.4876500000000001</v>
      </c>
      <c r="G6" s="19">
        <f>'P&amp;L'!G27</f>
        <v>1.4876500000000001</v>
      </c>
      <c r="H6" s="19">
        <f>'P&amp;L'!H27</f>
        <v>1.4876500000000001</v>
      </c>
    </row>
    <row r="7" spans="1:9" ht="30" x14ac:dyDescent="0.25">
      <c r="A7" s="10" t="s">
        <v>538</v>
      </c>
      <c r="B7" s="19">
        <f>'P&amp;L'!B30</f>
        <v>0</v>
      </c>
      <c r="C7" s="19">
        <f>'P&amp;L'!C30</f>
        <v>0</v>
      </c>
      <c r="D7" s="19">
        <f>'P&amp;L'!D30</f>
        <v>0</v>
      </c>
      <c r="E7" s="19">
        <f>'P&amp;L'!E30</f>
        <v>0</v>
      </c>
      <c r="F7" s="19">
        <f>'P&amp;L'!F30</f>
        <v>0</v>
      </c>
      <c r="G7" s="19">
        <f>'P&amp;L'!G30</f>
        <v>0</v>
      </c>
      <c r="H7" s="19">
        <f>'P&amp;L'!H30</f>
        <v>0</v>
      </c>
    </row>
    <row r="8" spans="1:9" x14ac:dyDescent="0.25">
      <c r="A8" s="6"/>
      <c r="B8" s="6"/>
      <c r="C8" s="6"/>
      <c r="D8" s="6"/>
      <c r="E8" s="6"/>
      <c r="F8" s="6"/>
      <c r="G8" s="6"/>
      <c r="H8" s="6"/>
    </row>
    <row r="9" spans="1:9" hidden="1" x14ac:dyDescent="0.25">
      <c r="A9" s="10" t="s">
        <v>539</v>
      </c>
      <c r="B9" s="19">
        <f>B7</f>
        <v>0</v>
      </c>
      <c r="C9" s="19">
        <f t="shared" ref="C9:H9" si="0">C7</f>
        <v>0</v>
      </c>
      <c r="D9" s="19">
        <f t="shared" si="0"/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19">
        <f t="shared" si="0"/>
        <v>0</v>
      </c>
    </row>
    <row r="10" spans="1:9" x14ac:dyDescent="0.25">
      <c r="A10" s="10" t="s">
        <v>540</v>
      </c>
      <c r="B10" s="19">
        <f>'TL Schedule'!C5+'TL Schedule'!C6</f>
        <v>0</v>
      </c>
      <c r="C10" s="19">
        <f>'TL Schedule'!D5+'TL Schedule'!D6</f>
        <v>0</v>
      </c>
      <c r="D10" s="19">
        <f>'TL Schedule'!E5+'TL Schedule'!E6</f>
        <v>0</v>
      </c>
      <c r="E10" s="19">
        <f>'TL Schedule'!F5+'TL Schedule'!F6</f>
        <v>0</v>
      </c>
      <c r="F10" s="19">
        <f>'TL Schedule'!G5+'TL Schedule'!G6</f>
        <v>0</v>
      </c>
      <c r="G10" s="19">
        <f>'TL Schedule'!H5+'TL Schedule'!H6</f>
        <v>0</v>
      </c>
      <c r="H10" s="19">
        <f>'TL Schedule'!I5+'TL Schedule'!I6</f>
        <v>0</v>
      </c>
    </row>
    <row r="11" spans="1:9" x14ac:dyDescent="0.25">
      <c r="A11" s="6"/>
      <c r="B11" s="6"/>
      <c r="C11" s="6"/>
      <c r="D11" s="6"/>
      <c r="E11" s="6"/>
      <c r="F11" s="6"/>
      <c r="G11" s="6"/>
      <c r="H11" s="6"/>
    </row>
    <row r="12" spans="1:9" x14ac:dyDescent="0.25">
      <c r="A12" s="80" t="s">
        <v>360</v>
      </c>
      <c r="B12" s="19" t="e">
        <f>SUM(B4:B7)/B10</f>
        <v>#DIV/0!</v>
      </c>
      <c r="C12" s="19" t="e">
        <f t="shared" ref="C12:G12" si="1">SUM(C4:C7)/C10</f>
        <v>#DIV/0!</v>
      </c>
      <c r="D12" s="19" t="e">
        <f t="shared" si="1"/>
        <v>#DIV/0!</v>
      </c>
      <c r="E12" s="19" t="e">
        <f t="shared" si="1"/>
        <v>#DIV/0!</v>
      </c>
      <c r="F12" s="19" t="e">
        <f t="shared" si="1"/>
        <v>#DIV/0!</v>
      </c>
      <c r="G12" s="19" t="e">
        <f t="shared" si="1"/>
        <v>#DIV/0!</v>
      </c>
      <c r="H12" s="19">
        <v>0</v>
      </c>
    </row>
    <row r="13" spans="1:9" x14ac:dyDescent="0.25">
      <c r="A13" s="6"/>
      <c r="B13" s="6"/>
      <c r="C13" s="6"/>
      <c r="D13" s="6"/>
      <c r="E13" s="6"/>
      <c r="F13" s="6"/>
      <c r="G13" s="6"/>
      <c r="H13" s="6"/>
    </row>
    <row r="14" spans="1:9" hidden="1" x14ac:dyDescent="0.25">
      <c r="A14" s="8" t="s">
        <v>541</v>
      </c>
      <c r="B14" s="19" t="e">
        <f>(SUM(B4:B7)/B9)</f>
        <v>#DIV/0!</v>
      </c>
      <c r="C14" s="19" t="e">
        <f t="shared" ref="C14:G14" si="2">(SUM(C4:C7)/C9)</f>
        <v>#DIV/0!</v>
      </c>
      <c r="D14" s="19" t="e">
        <f t="shared" si="2"/>
        <v>#DIV/0!</v>
      </c>
      <c r="E14" s="19" t="e">
        <f t="shared" si="2"/>
        <v>#DIV/0!</v>
      </c>
      <c r="F14" s="19" t="e">
        <f t="shared" si="2"/>
        <v>#DIV/0!</v>
      </c>
      <c r="G14" s="19" t="e">
        <f t="shared" si="2"/>
        <v>#DIV/0!</v>
      </c>
      <c r="H14" s="19">
        <v>0</v>
      </c>
    </row>
    <row r="15" spans="1:9" hidden="1" x14ac:dyDescent="0.25">
      <c r="A15" s="6"/>
      <c r="B15" s="6"/>
      <c r="C15" s="6"/>
      <c r="D15" s="6"/>
      <c r="E15" s="6"/>
      <c r="F15" s="6"/>
      <c r="G15" s="6"/>
      <c r="H15" s="6"/>
    </row>
    <row r="16" spans="1:9" x14ac:dyDescent="0.25">
      <c r="A16" s="8" t="s">
        <v>542</v>
      </c>
      <c r="B16" s="370" t="e">
        <f>SUM(B12:G12)/6</f>
        <v>#DIV/0!</v>
      </c>
      <c r="C16" s="370"/>
      <c r="D16" s="370"/>
      <c r="E16" s="370"/>
      <c r="F16" s="370"/>
      <c r="G16" s="370"/>
      <c r="H16" s="370"/>
    </row>
    <row r="17" spans="1:8" hidden="1" x14ac:dyDescent="0.25">
      <c r="A17" s="8" t="s">
        <v>543</v>
      </c>
      <c r="B17" s="370" t="e">
        <f>SUM(B14:G14)/6</f>
        <v>#DIV/0!</v>
      </c>
      <c r="C17" s="370"/>
      <c r="D17" s="370"/>
      <c r="E17" s="370"/>
      <c r="F17" s="370"/>
      <c r="G17" s="370"/>
      <c r="H17" s="370"/>
    </row>
  </sheetData>
  <mergeCells count="3">
    <mergeCell ref="A1:H1"/>
    <mergeCell ref="B16:H16"/>
    <mergeCell ref="B17:H1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view="pageBreakPreview" topLeftCell="A27" zoomScale="60" zoomScaleNormal="80" workbookViewId="0">
      <selection activeCell="A28" sqref="A28:K44"/>
    </sheetView>
  </sheetViews>
  <sheetFormatPr defaultRowHeight="15" x14ac:dyDescent="0.25"/>
  <cols>
    <col min="1" max="1" width="32" style="101" bestFit="1" customWidth="1"/>
    <col min="2" max="2" width="14.7109375" style="101" bestFit="1" customWidth="1"/>
    <col min="3" max="11" width="8.85546875" style="101" customWidth="1"/>
    <col min="12" max="14" width="9.140625" style="101"/>
    <col min="15" max="15" width="23.42578125" style="101" bestFit="1" customWidth="1"/>
    <col min="16" max="16384" width="9.140625" style="101"/>
  </cols>
  <sheetData>
    <row r="1" spans="1:15" hidden="1" x14ac:dyDescent="0.25">
      <c r="A1" s="130" t="s">
        <v>349</v>
      </c>
      <c r="B1" s="97"/>
      <c r="C1" s="97"/>
      <c r="D1" s="97"/>
      <c r="E1" s="97"/>
      <c r="F1" s="97"/>
      <c r="G1" s="97"/>
      <c r="H1" s="97"/>
    </row>
    <row r="2" spans="1:15" hidden="1" x14ac:dyDescent="0.25">
      <c r="A2" s="97" t="s">
        <v>1</v>
      </c>
      <c r="B2" s="174" t="s">
        <v>36</v>
      </c>
      <c r="C2" s="174" t="s">
        <v>37</v>
      </c>
      <c r="D2" s="174" t="s">
        <v>38</v>
      </c>
      <c r="E2" s="174" t="s">
        <v>39</v>
      </c>
      <c r="F2" s="174" t="s">
        <v>40</v>
      </c>
      <c r="G2" s="174" t="s">
        <v>41</v>
      </c>
      <c r="H2" s="174" t="s">
        <v>42</v>
      </c>
    </row>
    <row r="3" spans="1:15" hidden="1" x14ac:dyDescent="0.25">
      <c r="A3" s="36" t="s">
        <v>350</v>
      </c>
      <c r="B3" s="72">
        <f>'P&amp;L'!B36</f>
        <v>19.337647593750013</v>
      </c>
      <c r="C3" s="72">
        <f>'P&amp;L'!C36</f>
        <v>29.95683349953125</v>
      </c>
      <c r="D3" s="72">
        <f>'P&amp;L'!D36</f>
        <v>34.93650692091407</v>
      </c>
      <c r="E3" s="72">
        <f>'P&amp;L'!E36</f>
        <v>42.15155865602221</v>
      </c>
      <c r="F3" s="72">
        <f>'P&amp;L'!F36</f>
        <v>50.217809597573378</v>
      </c>
      <c r="G3" s="72">
        <f>'P&amp;L'!G36</f>
        <v>59.363426074639563</v>
      </c>
      <c r="H3" s="72">
        <f>'P&amp;L'!H36</f>
        <v>68.533491391927825</v>
      </c>
      <c r="I3" s="1"/>
      <c r="J3" s="1"/>
      <c r="K3" s="1"/>
    </row>
    <row r="4" spans="1:15" hidden="1" x14ac:dyDescent="0.25">
      <c r="A4" s="36"/>
      <c r="B4" s="36"/>
      <c r="C4" s="36"/>
      <c r="D4" s="36"/>
      <c r="E4" s="36"/>
      <c r="F4" s="36"/>
      <c r="G4" s="36"/>
      <c r="H4" s="36"/>
      <c r="I4" s="1"/>
      <c r="J4" s="1"/>
      <c r="K4" s="1"/>
    </row>
    <row r="5" spans="1:15" hidden="1" x14ac:dyDescent="0.25">
      <c r="A5" s="36" t="s">
        <v>351</v>
      </c>
      <c r="B5" s="72">
        <f>'P&amp;L'!B32</f>
        <v>12.794573</v>
      </c>
      <c r="C5" s="72">
        <f>'P&amp;L'!C32</f>
        <v>12.794573</v>
      </c>
      <c r="D5" s="72">
        <f>'P&amp;L'!D32</f>
        <v>12.794573</v>
      </c>
      <c r="E5" s="72">
        <f>'P&amp;L'!E32</f>
        <v>12.794573</v>
      </c>
      <c r="F5" s="72">
        <f>'P&amp;L'!F32</f>
        <v>12.794573</v>
      </c>
      <c r="G5" s="72">
        <f>'P&amp;L'!G32</f>
        <v>12.794573</v>
      </c>
      <c r="H5" s="72">
        <f>'P&amp;L'!H32</f>
        <v>12.794573</v>
      </c>
      <c r="I5" s="1"/>
      <c r="J5" s="1"/>
      <c r="K5" s="1"/>
    </row>
    <row r="6" spans="1:15" hidden="1" x14ac:dyDescent="0.25">
      <c r="A6" s="36"/>
      <c r="B6" s="36"/>
      <c r="C6" s="36"/>
      <c r="D6" s="36"/>
      <c r="E6" s="36"/>
      <c r="F6" s="36"/>
      <c r="G6" s="36"/>
      <c r="H6" s="36"/>
      <c r="I6" s="1"/>
      <c r="J6" s="1"/>
      <c r="K6" s="1"/>
      <c r="L6" s="221"/>
      <c r="M6" s="221"/>
      <c r="O6" s="117"/>
    </row>
    <row r="7" spans="1:15" hidden="1" x14ac:dyDescent="0.25">
      <c r="A7" s="36" t="s">
        <v>352</v>
      </c>
      <c r="B7" s="72">
        <f>'P&amp;L'!B27</f>
        <v>1.4876500000000001</v>
      </c>
      <c r="C7" s="72">
        <f>'P&amp;L'!C27</f>
        <v>1.4876500000000001</v>
      </c>
      <c r="D7" s="72">
        <f>'P&amp;L'!D27</f>
        <v>1.4876500000000001</v>
      </c>
      <c r="E7" s="72">
        <f>'P&amp;L'!E27</f>
        <v>1.4876500000000001</v>
      </c>
      <c r="F7" s="72">
        <f>'P&amp;L'!F27</f>
        <v>1.4876500000000001</v>
      </c>
      <c r="G7" s="72">
        <f>'P&amp;L'!G27</f>
        <v>1.4876500000000001</v>
      </c>
      <c r="H7" s="72">
        <f>'P&amp;L'!H27</f>
        <v>1.4876500000000001</v>
      </c>
      <c r="I7" s="1"/>
      <c r="J7" s="1"/>
      <c r="K7" s="1"/>
      <c r="L7" s="117"/>
      <c r="M7" s="221"/>
      <c r="O7" s="117"/>
    </row>
    <row r="8" spans="1:15" hidden="1" x14ac:dyDescent="0.25">
      <c r="A8" s="36"/>
      <c r="B8" s="36"/>
      <c r="C8" s="36"/>
      <c r="D8" s="36"/>
      <c r="E8" s="36"/>
      <c r="F8" s="36"/>
      <c r="G8" s="36"/>
      <c r="H8" s="36"/>
      <c r="I8" s="1"/>
      <c r="J8" s="1"/>
      <c r="K8" s="1"/>
      <c r="L8" s="221"/>
      <c r="M8" s="221"/>
      <c r="O8" s="117"/>
    </row>
    <row r="9" spans="1:15" hidden="1" x14ac:dyDescent="0.25">
      <c r="A9" s="76" t="s">
        <v>433</v>
      </c>
      <c r="B9" s="36"/>
      <c r="C9" s="36"/>
      <c r="D9" s="36"/>
      <c r="E9" s="36"/>
      <c r="F9" s="36"/>
      <c r="G9" s="36"/>
      <c r="H9" s="44">
        <v>0</v>
      </c>
      <c r="I9" s="1"/>
      <c r="J9" s="1"/>
      <c r="K9" s="1"/>
    </row>
    <row r="10" spans="1:15" hidden="1" x14ac:dyDescent="0.25">
      <c r="A10" s="36"/>
      <c r="B10" s="36"/>
      <c r="C10" s="36"/>
      <c r="D10" s="36"/>
      <c r="E10" s="36"/>
      <c r="F10" s="36"/>
      <c r="G10" s="36"/>
      <c r="H10" s="36"/>
      <c r="I10" s="1"/>
      <c r="J10" s="1"/>
      <c r="K10" s="1"/>
    </row>
    <row r="11" spans="1:15" hidden="1" x14ac:dyDescent="0.25">
      <c r="A11" s="36" t="s">
        <v>353</v>
      </c>
      <c r="B11" s="72">
        <f>B3+B5+B7</f>
        <v>33.619870593750015</v>
      </c>
      <c r="C11" s="72">
        <f t="shared" ref="C11:G11" si="0">C3+C5+C7</f>
        <v>44.239056499531252</v>
      </c>
      <c r="D11" s="72">
        <f t="shared" si="0"/>
        <v>49.218729920914072</v>
      </c>
      <c r="E11" s="72">
        <f t="shared" si="0"/>
        <v>56.433781656022212</v>
      </c>
      <c r="F11" s="72">
        <f t="shared" si="0"/>
        <v>64.50003259757338</v>
      </c>
      <c r="G11" s="72">
        <f t="shared" si="0"/>
        <v>73.645649074639564</v>
      </c>
      <c r="H11" s="72">
        <f>H3+H5+H7+H9</f>
        <v>82.815714391927827</v>
      </c>
      <c r="I11" s="1"/>
      <c r="J11" s="1"/>
      <c r="K11" s="1"/>
    </row>
    <row r="12" spans="1:15" hidden="1" x14ac:dyDescent="0.25">
      <c r="A12" s="36"/>
      <c r="B12" s="36"/>
      <c r="C12" s="36"/>
      <c r="D12" s="36"/>
      <c r="E12" s="36"/>
      <c r="F12" s="36"/>
      <c r="G12" s="36"/>
      <c r="H12" s="36"/>
      <c r="I12" s="1"/>
      <c r="J12" s="1"/>
      <c r="K12" s="1"/>
    </row>
    <row r="13" spans="1:15" hidden="1" x14ac:dyDescent="0.25">
      <c r="A13" s="21" t="s">
        <v>354</v>
      </c>
      <c r="B13" s="36">
        <f>1/1.1</f>
        <v>0.90909090909090906</v>
      </c>
      <c r="C13" s="36">
        <f>B13/1.1</f>
        <v>0.82644628099173545</v>
      </c>
      <c r="D13" s="36">
        <f>C13/1.1</f>
        <v>0.75131480090157765</v>
      </c>
      <c r="E13" s="36">
        <f t="shared" ref="E13:H13" si="1">D13/1.1</f>
        <v>0.68301345536507052</v>
      </c>
      <c r="F13" s="36">
        <f t="shared" si="1"/>
        <v>0.62092132305915493</v>
      </c>
      <c r="G13" s="36">
        <f t="shared" si="1"/>
        <v>0.56447393005377711</v>
      </c>
      <c r="H13" s="36">
        <f t="shared" si="1"/>
        <v>0.51315811823070645</v>
      </c>
      <c r="I13" s="1"/>
      <c r="J13" s="1"/>
      <c r="K13" s="1"/>
    </row>
    <row r="14" spans="1:15" hidden="1" x14ac:dyDescent="0.25">
      <c r="A14" s="36"/>
      <c r="B14" s="36"/>
      <c r="C14" s="36"/>
      <c r="D14" s="36"/>
      <c r="E14" s="36"/>
      <c r="F14" s="36"/>
      <c r="G14" s="36"/>
      <c r="H14" s="36"/>
      <c r="I14" s="1"/>
      <c r="J14" s="1"/>
      <c r="K14" s="1"/>
    </row>
    <row r="15" spans="1:15" hidden="1" x14ac:dyDescent="0.25">
      <c r="A15" s="76" t="s">
        <v>434</v>
      </c>
      <c r="B15" s="44">
        <f t="shared" ref="B15:H15" si="2">B11*B13</f>
        <v>30.563518721590921</v>
      </c>
      <c r="C15" s="44">
        <f t="shared" si="2"/>
        <v>36.561203718620867</v>
      </c>
      <c r="D15" s="44">
        <f t="shared" si="2"/>
        <v>36.978760271160077</v>
      </c>
      <c r="E15" s="44">
        <f t="shared" si="2"/>
        <v>38.545032208197661</v>
      </c>
      <c r="F15" s="44">
        <f t="shared" si="2"/>
        <v>40.049445577843883</v>
      </c>
      <c r="G15" s="44">
        <f t="shared" si="2"/>
        <v>41.571048964523108</v>
      </c>
      <c r="H15" s="44">
        <f t="shared" si="2"/>
        <v>42.497556157293317</v>
      </c>
      <c r="I15" s="1"/>
      <c r="J15" s="1"/>
      <c r="K15" s="1"/>
    </row>
    <row r="16" spans="1:15" hidden="1" x14ac:dyDescent="0.25">
      <c r="A16" s="36"/>
      <c r="B16" s="36"/>
      <c r="C16" s="36"/>
      <c r="D16" s="36"/>
      <c r="E16" s="36"/>
      <c r="F16" s="36"/>
      <c r="G16" s="36"/>
      <c r="H16" s="36"/>
      <c r="I16" s="1"/>
      <c r="J16" s="1"/>
      <c r="K16" s="1"/>
    </row>
    <row r="17" spans="1:11" s="1" customFormat="1" hidden="1" x14ac:dyDescent="0.25">
      <c r="A17" s="21" t="s">
        <v>435</v>
      </c>
      <c r="B17" s="9">
        <f>SUM(B15:H15)</f>
        <v>266.76656561922982</v>
      </c>
      <c r="C17" s="6"/>
      <c r="D17" s="6"/>
      <c r="E17" s="6"/>
      <c r="F17" s="6"/>
      <c r="G17" s="6"/>
      <c r="H17" s="6"/>
    </row>
    <row r="18" spans="1:11" s="1" customFormat="1" hidden="1" x14ac:dyDescent="0.25"/>
    <row r="19" spans="1:11" s="1" customFormat="1" hidden="1" x14ac:dyDescent="0.25"/>
    <row r="20" spans="1:11" hidden="1" x14ac:dyDescent="0.25">
      <c r="A20" s="101" t="s">
        <v>436</v>
      </c>
      <c r="B20" s="113">
        <f>'Project Glance'!B15</f>
        <v>315.50123854166668</v>
      </c>
      <c r="D20" s="113"/>
      <c r="E20" s="118"/>
      <c r="F20" s="118"/>
      <c r="G20" s="118"/>
      <c r="H20" s="118"/>
      <c r="I20" s="118"/>
      <c r="J20" s="118"/>
    </row>
    <row r="21" spans="1:11" hidden="1" x14ac:dyDescent="0.25">
      <c r="E21" s="38"/>
      <c r="F21" s="118"/>
      <c r="G21" s="118"/>
      <c r="H21" s="118"/>
      <c r="I21" s="118"/>
      <c r="J21" s="118"/>
    </row>
    <row r="22" spans="1:11" s="116" customFormat="1" hidden="1" x14ac:dyDescent="0.25">
      <c r="A22" s="175" t="s">
        <v>437</v>
      </c>
      <c r="B22" s="176">
        <f>B17-B20</f>
        <v>-48.734672922436857</v>
      </c>
    </row>
    <row r="23" spans="1:11" hidden="1" x14ac:dyDescent="0.25"/>
    <row r="24" spans="1:11" hidden="1" x14ac:dyDescent="0.25">
      <c r="A24" s="135" t="s">
        <v>355</v>
      </c>
      <c r="B24" s="137" t="e">
        <f>IRR(B11:H11)</f>
        <v>#NUM!</v>
      </c>
    </row>
    <row r="25" spans="1:11" hidden="1" x14ac:dyDescent="0.25">
      <c r="A25" s="116"/>
      <c r="B25" s="116"/>
    </row>
    <row r="26" spans="1:11" hidden="1" x14ac:dyDescent="0.25">
      <c r="A26" s="135" t="s">
        <v>443</v>
      </c>
      <c r="B26" s="136">
        <f>AVERAGE('P&amp;L'!B36:H36)/'Project Glance'!B23</f>
        <v>0.13787461099850795</v>
      </c>
      <c r="D26" s="117"/>
    </row>
    <row r="28" spans="1:11" x14ac:dyDescent="0.25">
      <c r="A28" s="119" t="s">
        <v>1</v>
      </c>
      <c r="B28" s="119" t="s">
        <v>36</v>
      </c>
      <c r="C28" s="119" t="s">
        <v>37</v>
      </c>
      <c r="D28" s="119" t="s">
        <v>38</v>
      </c>
      <c r="E28" s="119" t="s">
        <v>39</v>
      </c>
      <c r="F28" s="119" t="s">
        <v>40</v>
      </c>
      <c r="G28" s="119" t="s">
        <v>41</v>
      </c>
      <c r="H28" s="119" t="s">
        <v>42</v>
      </c>
      <c r="I28" s="119" t="s">
        <v>494</v>
      </c>
      <c r="J28" s="119" t="s">
        <v>495</v>
      </c>
      <c r="K28" s="119" t="s">
        <v>496</v>
      </c>
    </row>
    <row r="29" spans="1:11" x14ac:dyDescent="0.25">
      <c r="A29" s="36" t="s">
        <v>350</v>
      </c>
      <c r="B29" s="72">
        <f>+'P&amp;L'!B36</f>
        <v>19.337647593750013</v>
      </c>
      <c r="C29" s="72">
        <f>+'P&amp;L'!C36</f>
        <v>29.95683349953125</v>
      </c>
      <c r="D29" s="72">
        <f>+'P&amp;L'!D36</f>
        <v>34.93650692091407</v>
      </c>
      <c r="E29" s="72">
        <f>+'P&amp;L'!E36</f>
        <v>42.15155865602221</v>
      </c>
      <c r="F29" s="72">
        <f>+'P&amp;L'!F36</f>
        <v>50.217809597573378</v>
      </c>
      <c r="G29" s="72">
        <f>+'P&amp;L'!G36</f>
        <v>59.363426074639563</v>
      </c>
      <c r="H29" s="72">
        <f>+'P&amp;L'!H36</f>
        <v>68.533491391927825</v>
      </c>
      <c r="I29" s="72">
        <f>+'P&amp;L'!I36</f>
        <v>79.211709939716343</v>
      </c>
      <c r="J29" s="72">
        <f>+'P&amp;L'!J36</f>
        <v>90.87291232838524</v>
      </c>
      <c r="K29" s="72">
        <f>+'P&amp;L'!K36</f>
        <v>103.90034802365601</v>
      </c>
    </row>
    <row r="30" spans="1:11" x14ac:dyDescent="0.25">
      <c r="A30" s="36" t="s">
        <v>357</v>
      </c>
      <c r="B30" s="72">
        <f>SUM(B36:B40)</f>
        <v>43.472352406249996</v>
      </c>
      <c r="C30" s="72">
        <f t="shared" ref="C30:K30" si="3">SUM(C36:C40)</f>
        <v>45.175704889062501</v>
      </c>
      <c r="D30" s="72">
        <f t="shared" si="3"/>
        <v>46.857756327265626</v>
      </c>
      <c r="E30" s="72">
        <f t="shared" si="3"/>
        <v>48.637990509253918</v>
      </c>
      <c r="F30" s="72">
        <f t="shared" si="3"/>
        <v>50.49718194721661</v>
      </c>
      <c r="G30" s="72">
        <f t="shared" si="3"/>
        <v>52.476862447702445</v>
      </c>
      <c r="H30" s="72">
        <f t="shared" si="3"/>
        <v>54.530305298212568</v>
      </c>
      <c r="I30" s="72">
        <f t="shared" si="3"/>
        <v>56.692806278748193</v>
      </c>
      <c r="J30" s="72">
        <f t="shared" si="3"/>
        <v>59.048826145810608</v>
      </c>
      <c r="K30" s="72">
        <f t="shared" si="3"/>
        <v>61.456004799976142</v>
      </c>
    </row>
    <row r="31" spans="1:11" x14ac:dyDescent="0.25">
      <c r="A31" s="36"/>
      <c r="B31" s="72"/>
      <c r="C31" s="72"/>
      <c r="D31" s="72"/>
      <c r="E31" s="72"/>
      <c r="F31" s="72"/>
      <c r="G31" s="72"/>
      <c r="H31" s="72"/>
      <c r="I31" s="72"/>
      <c r="J31" s="72"/>
      <c r="K31" s="72"/>
    </row>
    <row r="32" spans="1:11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1" x14ac:dyDescent="0.25">
      <c r="A33" s="36" t="s">
        <v>356</v>
      </c>
      <c r="B33" s="72">
        <f>SUM(B29:B32)</f>
        <v>62.810000000000009</v>
      </c>
      <c r="C33" s="72">
        <f t="shared" ref="C33:K33" si="4">SUM(C29:C32)</f>
        <v>75.132538388593758</v>
      </c>
      <c r="D33" s="72">
        <f t="shared" si="4"/>
        <v>81.794263248179703</v>
      </c>
      <c r="E33" s="72">
        <f t="shared" si="4"/>
        <v>90.789549165276128</v>
      </c>
      <c r="F33" s="72">
        <f t="shared" si="4"/>
        <v>100.71499154479</v>
      </c>
      <c r="G33" s="72">
        <f t="shared" si="4"/>
        <v>111.84028852234201</v>
      </c>
      <c r="H33" s="72">
        <f t="shared" si="4"/>
        <v>123.06379669014039</v>
      </c>
      <c r="I33" s="72">
        <f t="shared" si="4"/>
        <v>135.90451621846455</v>
      </c>
      <c r="J33" s="72">
        <f t="shared" si="4"/>
        <v>149.92173847419585</v>
      </c>
      <c r="K33" s="72">
        <f t="shared" si="4"/>
        <v>165.35635282363216</v>
      </c>
    </row>
    <row r="34" spans="1:11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</row>
    <row r="35" spans="1:11" x14ac:dyDescent="0.25">
      <c r="A35" s="26" t="s">
        <v>357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x14ac:dyDescent="0.25">
      <c r="A36" s="36" t="s">
        <v>438</v>
      </c>
      <c r="B36" s="73">
        <f>'P&amp;L'!B23</f>
        <v>28.354549999999996</v>
      </c>
      <c r="C36" s="73">
        <f>'P&amp;L'!C23</f>
        <v>29.789997499999998</v>
      </c>
      <c r="D36" s="73">
        <f>'P&amp;L'!D23</f>
        <v>31.297997375000001</v>
      </c>
      <c r="E36" s="73">
        <f>'P&amp;L'!E23</f>
        <v>32.878397243750008</v>
      </c>
      <c r="F36" s="73">
        <f>'P&amp;L'!F23</f>
        <v>34.534817105937506</v>
      </c>
      <c r="G36" s="73">
        <f>'P&amp;L'!G23</f>
        <v>36.271057961234384</v>
      </c>
      <c r="H36" s="73">
        <f>'P&amp;L'!H23</f>
        <v>38.091110859296109</v>
      </c>
      <c r="I36" s="73">
        <f>'P&amp;L'!I23</f>
        <v>39.999166402260911</v>
      </c>
      <c r="J36" s="73">
        <f>'P&amp;L'!J23</f>
        <v>41.999624722373959</v>
      </c>
      <c r="K36" s="73">
        <f>'P&amp;L'!K23</f>
        <v>44.097105958492662</v>
      </c>
    </row>
    <row r="37" spans="1:11" x14ac:dyDescent="0.25">
      <c r="A37" s="36" t="s">
        <v>439</v>
      </c>
      <c r="B37" s="73">
        <f>'P&amp;L'!B30</f>
        <v>0</v>
      </c>
      <c r="C37" s="73">
        <f>'P&amp;L'!C30</f>
        <v>0</v>
      </c>
      <c r="D37" s="73">
        <f>'P&amp;L'!D30</f>
        <v>0</v>
      </c>
      <c r="E37" s="73">
        <f>'P&amp;L'!E30</f>
        <v>0</v>
      </c>
      <c r="F37" s="73">
        <f>'P&amp;L'!F30</f>
        <v>0</v>
      </c>
      <c r="G37" s="73">
        <f>'P&amp;L'!G30</f>
        <v>0</v>
      </c>
      <c r="H37" s="73">
        <f>'P&amp;L'!H30</f>
        <v>0</v>
      </c>
      <c r="I37" s="73">
        <f>'P&amp;L'!I30</f>
        <v>0</v>
      </c>
      <c r="J37" s="73">
        <f>'P&amp;L'!J30</f>
        <v>0</v>
      </c>
      <c r="K37" s="73">
        <f>'P&amp;L'!K30</f>
        <v>0</v>
      </c>
    </row>
    <row r="38" spans="1:11" x14ac:dyDescent="0.25">
      <c r="A38" s="36" t="s">
        <v>440</v>
      </c>
      <c r="B38" s="73">
        <f>'P&amp;L'!B31</f>
        <v>0.83557940624999982</v>
      </c>
      <c r="C38" s="73">
        <f>'P&amp;L'!C31</f>
        <v>1.1034843890624997</v>
      </c>
      <c r="D38" s="73">
        <f>'P&amp;L'!D31</f>
        <v>1.2775359522656251</v>
      </c>
      <c r="E38" s="73">
        <f>'P&amp;L'!E31</f>
        <v>1.4773702655039058</v>
      </c>
      <c r="F38" s="73">
        <f>'P&amp;L'!F31</f>
        <v>1.6801418412791009</v>
      </c>
      <c r="G38" s="73">
        <f>'P&amp;L'!G31</f>
        <v>1.9235814864680567</v>
      </c>
      <c r="H38" s="73">
        <f>'P&amp;L'!H31</f>
        <v>2.1569714389164596</v>
      </c>
      <c r="I38" s="73">
        <f>'P&amp;L'!I31</f>
        <v>2.4114168764872823</v>
      </c>
      <c r="J38" s="73">
        <f>'P&amp;L'!J31</f>
        <v>2.7669784234366475</v>
      </c>
      <c r="K38" s="73">
        <f>'P&amp;L'!K31</f>
        <v>3.0766758414834787</v>
      </c>
    </row>
    <row r="39" spans="1:11" x14ac:dyDescent="0.25">
      <c r="A39" s="36" t="s">
        <v>362</v>
      </c>
      <c r="B39" s="73">
        <f>'P&amp;L'!B32</f>
        <v>12.794573</v>
      </c>
      <c r="C39" s="73">
        <f>'P&amp;L'!C32</f>
        <v>12.794573</v>
      </c>
      <c r="D39" s="73">
        <f>'P&amp;L'!D32</f>
        <v>12.794573</v>
      </c>
      <c r="E39" s="73">
        <f>'P&amp;L'!E32</f>
        <v>12.794573</v>
      </c>
      <c r="F39" s="73">
        <f>'P&amp;L'!F32</f>
        <v>12.794573</v>
      </c>
      <c r="G39" s="73">
        <f>'P&amp;L'!G32</f>
        <v>12.794573</v>
      </c>
      <c r="H39" s="73">
        <f>'P&amp;L'!H32</f>
        <v>12.794573</v>
      </c>
      <c r="I39" s="73">
        <f>'P&amp;L'!I32</f>
        <v>12.794573</v>
      </c>
      <c r="J39" s="73">
        <f>'P&amp;L'!J32</f>
        <v>12.794573</v>
      </c>
      <c r="K39" s="73">
        <f>'P&amp;L'!K32</f>
        <v>12.794573</v>
      </c>
    </row>
    <row r="40" spans="1:11" x14ac:dyDescent="0.25">
      <c r="A40" s="36" t="s">
        <v>441</v>
      </c>
      <c r="B40" s="73">
        <f>'P&amp;L'!B27</f>
        <v>1.4876500000000001</v>
      </c>
      <c r="C40" s="73">
        <f>'P&amp;L'!C27</f>
        <v>1.4876500000000001</v>
      </c>
      <c r="D40" s="73">
        <f>'P&amp;L'!D27</f>
        <v>1.4876500000000001</v>
      </c>
      <c r="E40" s="73">
        <f>'P&amp;L'!E27</f>
        <v>1.4876500000000001</v>
      </c>
      <c r="F40" s="73">
        <f>'P&amp;L'!F27</f>
        <v>1.4876500000000001</v>
      </c>
      <c r="G40" s="73">
        <f>'P&amp;L'!G27</f>
        <v>1.4876500000000001</v>
      </c>
      <c r="H40" s="73">
        <f>'P&amp;L'!H27</f>
        <v>1.4876500000000001</v>
      </c>
      <c r="I40" s="73">
        <f>'P&amp;L'!I27</f>
        <v>1.4876500000000001</v>
      </c>
      <c r="J40" s="73">
        <f>'P&amp;L'!J27</f>
        <v>1.4876500000000001</v>
      </c>
      <c r="K40" s="73">
        <f>'P&amp;L'!K27</f>
        <v>1.4876500000000001</v>
      </c>
    </row>
    <row r="41" spans="1:11" x14ac:dyDescent="0.2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x14ac:dyDescent="0.25">
      <c r="A42" s="36" t="s">
        <v>358</v>
      </c>
      <c r="B42" s="120">
        <f>(B36+B37+B38+B39+B40)/B33</f>
        <v>0.69212469998805903</v>
      </c>
      <c r="C42" s="120">
        <f t="shared" ref="C42:K42" si="5">(C36+C37+C38+C39+C40)/C33</f>
        <v>0.60128016246980476</v>
      </c>
      <c r="D42" s="120">
        <f t="shared" si="5"/>
        <v>0.57287338337029925</v>
      </c>
      <c r="E42" s="120">
        <f t="shared" si="5"/>
        <v>0.53572234862309764</v>
      </c>
      <c r="F42" s="120">
        <f t="shared" si="5"/>
        <v>0.50138694520725335</v>
      </c>
      <c r="G42" s="120">
        <f t="shared" si="5"/>
        <v>0.46921250956196608</v>
      </c>
      <c r="H42" s="120">
        <f t="shared" si="5"/>
        <v>0.4431059886402921</v>
      </c>
      <c r="I42" s="120">
        <f t="shared" si="5"/>
        <v>0.41715174636003505</v>
      </c>
      <c r="J42" s="120">
        <f t="shared" si="5"/>
        <v>0.39386433713196262</v>
      </c>
      <c r="K42" s="120">
        <f t="shared" si="5"/>
        <v>0.37165796022076425</v>
      </c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133" t="s">
        <v>359</v>
      </c>
      <c r="B44" s="134">
        <f>AVERAGE(B42:K42)</f>
        <v>0.49983800815735346</v>
      </c>
      <c r="C44" s="36"/>
      <c r="D44" s="36"/>
      <c r="E44" s="36"/>
      <c r="F44" s="36"/>
      <c r="G44" s="36"/>
      <c r="H44" s="36"/>
      <c r="I44" s="36"/>
      <c r="J44" s="36"/>
      <c r="K44" s="36"/>
    </row>
    <row r="45" spans="1:11" x14ac:dyDescent="0.25">
      <c r="A45" s="116"/>
      <c r="B45" s="116"/>
    </row>
    <row r="46" spans="1:11" hidden="1" x14ac:dyDescent="0.25">
      <c r="A46" s="135" t="s">
        <v>442</v>
      </c>
      <c r="B46" s="135"/>
    </row>
    <row r="47" spans="1:11" hidden="1" x14ac:dyDescent="0.25">
      <c r="A47" s="116"/>
      <c r="B47" s="116"/>
    </row>
    <row r="49" spans="1:11" x14ac:dyDescent="0.25">
      <c r="A49" s="15" t="s">
        <v>360</v>
      </c>
      <c r="B49" s="46" t="s">
        <v>36</v>
      </c>
      <c r="C49" s="46" t="s">
        <v>37</v>
      </c>
      <c r="D49" s="46" t="s">
        <v>38</v>
      </c>
      <c r="E49" s="46" t="s">
        <v>39</v>
      </c>
      <c r="F49" s="46" t="s">
        <v>40</v>
      </c>
      <c r="G49" s="46" t="s">
        <v>41</v>
      </c>
      <c r="H49" s="46" t="s">
        <v>42</v>
      </c>
      <c r="I49" s="46" t="s">
        <v>494</v>
      </c>
      <c r="J49" s="46" t="s">
        <v>495</v>
      </c>
      <c r="K49" s="46" t="s">
        <v>496</v>
      </c>
    </row>
    <row r="50" spans="1:11" x14ac:dyDescent="0.25">
      <c r="A50" s="36" t="s">
        <v>361</v>
      </c>
      <c r="B50" s="72">
        <f>'P&amp;L'!B36</f>
        <v>19.337647593750013</v>
      </c>
      <c r="C50" s="72">
        <f>'P&amp;L'!C36</f>
        <v>29.95683349953125</v>
      </c>
      <c r="D50" s="72">
        <f>'P&amp;L'!D36</f>
        <v>34.93650692091407</v>
      </c>
      <c r="E50" s="72">
        <f>'P&amp;L'!E36</f>
        <v>42.15155865602221</v>
      </c>
      <c r="F50" s="72">
        <f>'P&amp;L'!F36</f>
        <v>50.217809597573378</v>
      </c>
      <c r="G50" s="72">
        <f>'P&amp;L'!G36</f>
        <v>59.363426074639563</v>
      </c>
      <c r="H50" s="72">
        <f>'P&amp;L'!H36</f>
        <v>68.533491391927825</v>
      </c>
      <c r="I50" s="72">
        <f>'P&amp;L'!I36</f>
        <v>79.211709939716343</v>
      </c>
      <c r="J50" s="72">
        <f>'P&amp;L'!J36</f>
        <v>90.87291232838524</v>
      </c>
      <c r="K50" s="72">
        <f>'P&amp;L'!K36</f>
        <v>103.90034802365601</v>
      </c>
    </row>
    <row r="51" spans="1:11" x14ac:dyDescent="0.25">
      <c r="A51" s="36" t="s">
        <v>362</v>
      </c>
      <c r="B51" s="72">
        <f>'P&amp;L'!B32</f>
        <v>12.794573</v>
      </c>
      <c r="C51" s="72">
        <f>'P&amp;L'!C32</f>
        <v>12.794573</v>
      </c>
      <c r="D51" s="72">
        <f>'P&amp;L'!D32</f>
        <v>12.794573</v>
      </c>
      <c r="E51" s="72">
        <f>'P&amp;L'!E32</f>
        <v>12.794573</v>
      </c>
      <c r="F51" s="72">
        <f>'P&amp;L'!F32</f>
        <v>12.794573</v>
      </c>
      <c r="G51" s="72">
        <f>'P&amp;L'!G32</f>
        <v>12.794573</v>
      </c>
      <c r="H51" s="72">
        <f>'P&amp;L'!H32</f>
        <v>12.794573</v>
      </c>
      <c r="I51" s="72">
        <f>'P&amp;L'!I32</f>
        <v>12.794573</v>
      </c>
      <c r="J51" s="72">
        <f>'P&amp;L'!J32</f>
        <v>12.794573</v>
      </c>
      <c r="K51" s="72">
        <f>'P&amp;L'!K32</f>
        <v>12.794573</v>
      </c>
    </row>
    <row r="52" spans="1:11" x14ac:dyDescent="0.25">
      <c r="A52" s="36" t="s">
        <v>363</v>
      </c>
      <c r="B52" s="72">
        <f>'P&amp;L'!B30</f>
        <v>0</v>
      </c>
      <c r="C52" s="72">
        <f>'P&amp;L'!C30</f>
        <v>0</v>
      </c>
      <c r="D52" s="72">
        <f>'P&amp;L'!D30</f>
        <v>0</v>
      </c>
      <c r="E52" s="72">
        <f>'P&amp;L'!E30</f>
        <v>0</v>
      </c>
      <c r="F52" s="72">
        <f>'P&amp;L'!F30</f>
        <v>0</v>
      </c>
      <c r="G52" s="72">
        <f>'P&amp;L'!G30</f>
        <v>0</v>
      </c>
      <c r="H52" s="72">
        <f>'P&amp;L'!H30</f>
        <v>0</v>
      </c>
      <c r="I52" s="72">
        <f>'P&amp;L'!I30</f>
        <v>0</v>
      </c>
      <c r="J52" s="72">
        <f>'P&amp;L'!J30</f>
        <v>0</v>
      </c>
      <c r="K52" s="72">
        <f>'P&amp;L'!K30</f>
        <v>0</v>
      </c>
    </row>
    <row r="53" spans="1:11" x14ac:dyDescent="0.25">
      <c r="A53" s="36" t="s">
        <v>441</v>
      </c>
      <c r="B53" s="72">
        <f>'P&amp;L'!B27</f>
        <v>1.4876500000000001</v>
      </c>
      <c r="C53" s="72">
        <f>'P&amp;L'!C27</f>
        <v>1.4876500000000001</v>
      </c>
      <c r="D53" s="72">
        <f>'P&amp;L'!D27</f>
        <v>1.4876500000000001</v>
      </c>
      <c r="E53" s="72">
        <f>'P&amp;L'!E27</f>
        <v>1.4876500000000001</v>
      </c>
      <c r="F53" s="72">
        <f>'P&amp;L'!F27</f>
        <v>1.4876500000000001</v>
      </c>
      <c r="G53" s="72">
        <f>'P&amp;L'!G27</f>
        <v>1.4876500000000001</v>
      </c>
      <c r="H53" s="72">
        <f>'P&amp;L'!H27</f>
        <v>1.4876500000000001</v>
      </c>
      <c r="I53" s="72">
        <f>'P&amp;L'!I27</f>
        <v>1.4876500000000001</v>
      </c>
      <c r="J53" s="72">
        <f>'P&amp;L'!J27</f>
        <v>1.4876500000000001</v>
      </c>
      <c r="K53" s="72">
        <f>'P&amp;L'!K27</f>
        <v>1.4876500000000001</v>
      </c>
    </row>
    <row r="54" spans="1:1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  <row r="55" spans="1:11" x14ac:dyDescent="0.25">
      <c r="A55" s="36" t="s">
        <v>364</v>
      </c>
      <c r="B55" s="72">
        <f>SUM(B50:B54)</f>
        <v>33.619870593750015</v>
      </c>
      <c r="C55" s="72">
        <f t="shared" ref="C55:H55" si="6">SUM(C50:C54)</f>
        <v>44.239056499531252</v>
      </c>
      <c r="D55" s="72">
        <f t="shared" si="6"/>
        <v>49.218729920914072</v>
      </c>
      <c r="E55" s="72">
        <f t="shared" si="6"/>
        <v>56.433781656022212</v>
      </c>
      <c r="F55" s="72">
        <f t="shared" si="6"/>
        <v>64.50003259757338</v>
      </c>
      <c r="G55" s="72">
        <f t="shared" si="6"/>
        <v>73.645649074639564</v>
      </c>
      <c r="H55" s="72">
        <f t="shared" si="6"/>
        <v>82.815714391927827</v>
      </c>
      <c r="I55" s="72">
        <f t="shared" ref="I55:K55" si="7">SUM(I50:I54)</f>
        <v>93.493932939716345</v>
      </c>
      <c r="J55" s="72">
        <f t="shared" si="7"/>
        <v>105.15513532838524</v>
      </c>
      <c r="K55" s="72">
        <f t="shared" si="7"/>
        <v>118.18257102365601</v>
      </c>
    </row>
    <row r="56" spans="1:11" x14ac:dyDescent="0.25">
      <c r="A56" s="36" t="s">
        <v>365</v>
      </c>
      <c r="B56" s="73">
        <f>'TL Schedule'!C5+'TL Schedule'!C6</f>
        <v>0</v>
      </c>
      <c r="C56" s="73">
        <f>'TL Schedule'!D5+'TL Schedule'!D6</f>
        <v>0</v>
      </c>
      <c r="D56" s="73">
        <f>'TL Schedule'!E5+'TL Schedule'!E6</f>
        <v>0</v>
      </c>
      <c r="E56" s="73">
        <f>'TL Schedule'!F5+'TL Schedule'!F6</f>
        <v>0</v>
      </c>
      <c r="F56" s="73">
        <f>'TL Schedule'!G5+'TL Schedule'!G6</f>
        <v>0</v>
      </c>
      <c r="G56" s="73">
        <f>'TL Schedule'!H5+'TL Schedule'!H6</f>
        <v>0</v>
      </c>
      <c r="H56" s="73">
        <f>'TL Schedule'!I5+'TL Schedule'!I6</f>
        <v>0</v>
      </c>
      <c r="I56" s="73">
        <f>'TL Schedule'!J5+'TL Schedule'!J6</f>
        <v>0</v>
      </c>
      <c r="J56" s="73">
        <f>'TL Schedule'!K5+'TL Schedule'!K6</f>
        <v>0</v>
      </c>
      <c r="K56" s="73">
        <f>'TL Schedule'!L5+'TL Schedule'!L6</f>
        <v>0</v>
      </c>
    </row>
    <row r="57" spans="1:11" x14ac:dyDescent="0.2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</row>
    <row r="58" spans="1:11" x14ac:dyDescent="0.25">
      <c r="A58" s="121" t="s">
        <v>360</v>
      </c>
      <c r="B58" s="122" t="e">
        <f>B55/B56</f>
        <v>#DIV/0!</v>
      </c>
      <c r="C58" s="122" t="e">
        <f t="shared" ref="C58:G58" si="8">C55/C56</f>
        <v>#DIV/0!</v>
      </c>
      <c r="D58" s="122" t="e">
        <f t="shared" si="8"/>
        <v>#DIV/0!</v>
      </c>
      <c r="E58" s="122" t="e">
        <f t="shared" si="8"/>
        <v>#DIV/0!</v>
      </c>
      <c r="F58" s="122" t="e">
        <f t="shared" si="8"/>
        <v>#DIV/0!</v>
      </c>
      <c r="G58" s="122" t="e">
        <f t="shared" si="8"/>
        <v>#DIV/0!</v>
      </c>
      <c r="H58" s="122">
        <v>0</v>
      </c>
      <c r="I58" s="122">
        <v>0</v>
      </c>
      <c r="J58" s="122">
        <v>0</v>
      </c>
      <c r="K58" s="122">
        <v>0</v>
      </c>
    </row>
    <row r="59" spans="1:11" x14ac:dyDescent="0.2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</row>
    <row r="60" spans="1:11" x14ac:dyDescent="0.25">
      <c r="A60" s="121" t="s">
        <v>366</v>
      </c>
      <c r="B60" s="122" t="e">
        <f>AVERAGE(B58:G58)</f>
        <v>#DIV/0!</v>
      </c>
      <c r="C60" s="36"/>
      <c r="D60" s="36"/>
      <c r="E60" s="36"/>
      <c r="F60" s="36"/>
      <c r="G60" s="36"/>
      <c r="H60" s="36"/>
      <c r="I60" s="36"/>
      <c r="J60" s="36"/>
      <c r="K60" s="36"/>
    </row>
  </sheetData>
  <pageMargins left="0.7" right="0.7" top="0.75" bottom="0.75" header="0.3" footer="0.3"/>
  <pageSetup orientation="portrait" r:id="rId1"/>
  <colBreaks count="1" manualBreakCount="1">
    <brk id="3" min="1" max="59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80" zoomScaleNormal="80" workbookViewId="0">
      <selection activeCell="B18" sqref="B18"/>
    </sheetView>
  </sheetViews>
  <sheetFormatPr defaultRowHeight="15" x14ac:dyDescent="0.25"/>
  <cols>
    <col min="1" max="1" width="8.7109375" style="1" bestFit="1" customWidth="1"/>
    <col min="2" max="2" width="77" style="1" bestFit="1" customWidth="1"/>
    <col min="3" max="3" width="9.5703125" style="60" bestFit="1" customWidth="1"/>
    <col min="4" max="10" width="11.28515625" style="1" bestFit="1" customWidth="1"/>
    <col min="11" max="16384" width="9.140625" style="1"/>
  </cols>
  <sheetData>
    <row r="1" spans="1:10" x14ac:dyDescent="0.25">
      <c r="A1" s="16"/>
      <c r="B1" s="16"/>
      <c r="C1" s="46"/>
      <c r="D1" s="371"/>
      <c r="E1" s="371"/>
      <c r="F1" s="371"/>
      <c r="G1" s="371"/>
      <c r="H1" s="371"/>
      <c r="I1" s="371"/>
      <c r="J1" s="372"/>
    </row>
    <row r="2" spans="1:10" x14ac:dyDescent="0.25">
      <c r="A2" s="189" t="s">
        <v>465</v>
      </c>
      <c r="B2" s="189" t="s">
        <v>1</v>
      </c>
      <c r="C2" s="190" t="s">
        <v>466</v>
      </c>
      <c r="D2" s="190" t="s">
        <v>472</v>
      </c>
      <c r="E2" s="190" t="s">
        <v>37</v>
      </c>
      <c r="F2" s="46" t="s">
        <v>38</v>
      </c>
      <c r="G2" s="190" t="s">
        <v>39</v>
      </c>
      <c r="H2" s="190" t="s">
        <v>40</v>
      </c>
      <c r="I2" s="46" t="s">
        <v>41</v>
      </c>
      <c r="J2" s="190" t="s">
        <v>42</v>
      </c>
    </row>
    <row r="3" spans="1:10" x14ac:dyDescent="0.25">
      <c r="A3" s="6"/>
      <c r="B3" s="6"/>
      <c r="C3" s="43"/>
      <c r="D3" s="6"/>
      <c r="E3" s="6"/>
      <c r="F3" s="6"/>
      <c r="G3" s="6"/>
      <c r="H3" s="6"/>
      <c r="I3" s="6"/>
      <c r="J3" s="6"/>
    </row>
    <row r="4" spans="1:10" x14ac:dyDescent="0.25">
      <c r="A4" s="6"/>
      <c r="B4" s="8" t="s">
        <v>471</v>
      </c>
      <c r="C4" s="43">
        <v>1000</v>
      </c>
      <c r="D4" s="9">
        <f>'P&amp;L'!B36*100000/('Output Schedule'!B12+'Output Schedule'!B17)</f>
        <v>386.75295187500024</v>
      </c>
      <c r="E4" s="9">
        <f>'P&amp;L'!C36*100000/('Output Schedule'!C12+'Output Schedule'!C17)</f>
        <v>544.66969999147727</v>
      </c>
      <c r="F4" s="9">
        <f>'P&amp;L'!D36*100000/('Output Schedule'!D12+'Output Schedule'!D17)</f>
        <v>582.27511534856774</v>
      </c>
      <c r="G4" s="9">
        <f>'P&amp;L'!E36*100000/('Output Schedule'!E12+'Output Schedule'!E17)</f>
        <v>648.48551778495698</v>
      </c>
      <c r="H4" s="9">
        <f>'P&amp;L'!F36*100000/('Output Schedule'!F12+'Output Schedule'!F17)</f>
        <v>717.39727996533384</v>
      </c>
      <c r="I4" s="9">
        <f>'P&amp;L'!G36*100000/('Output Schedule'!G12+'Output Schedule'!G17)</f>
        <v>791.51234766186064</v>
      </c>
      <c r="J4" s="9">
        <f>'P&amp;L'!H36*100000/('Output Schedule'!H12+'Output Schedule'!H17)</f>
        <v>856.66864239909751</v>
      </c>
    </row>
    <row r="5" spans="1:10" x14ac:dyDescent="0.25">
      <c r="A5" s="6"/>
      <c r="B5" s="80" t="s">
        <v>485</v>
      </c>
      <c r="C5" s="187"/>
      <c r="D5" s="11">
        <f>D4</f>
        <v>386.75295187500024</v>
      </c>
      <c r="E5" s="11">
        <f t="shared" ref="E5:J5" si="0">E4</f>
        <v>544.66969999147727</v>
      </c>
      <c r="F5" s="11">
        <f t="shared" si="0"/>
        <v>582.27511534856774</v>
      </c>
      <c r="G5" s="11">
        <f t="shared" si="0"/>
        <v>648.48551778495698</v>
      </c>
      <c r="H5" s="11">
        <f t="shared" si="0"/>
        <v>717.39727996533384</v>
      </c>
      <c r="I5" s="11">
        <f t="shared" si="0"/>
        <v>791.51234766186064</v>
      </c>
      <c r="J5" s="11">
        <f t="shared" si="0"/>
        <v>856.66864239909751</v>
      </c>
    </row>
    <row r="6" spans="1:10" x14ac:dyDescent="0.25">
      <c r="A6" s="6"/>
      <c r="B6" s="6"/>
      <c r="C6" s="43"/>
      <c r="D6" s="6"/>
      <c r="E6" s="6"/>
      <c r="F6" s="6"/>
      <c r="G6" s="6"/>
      <c r="H6" s="6"/>
      <c r="I6" s="6"/>
      <c r="J6" s="6"/>
    </row>
    <row r="7" spans="1:10" x14ac:dyDescent="0.25">
      <c r="A7" s="191"/>
      <c r="B7" s="192"/>
      <c r="C7" s="193"/>
      <c r="D7" s="194"/>
      <c r="E7" s="194"/>
      <c r="F7" s="194"/>
      <c r="G7" s="194"/>
      <c r="H7" s="194"/>
      <c r="I7" s="194"/>
      <c r="J7" s="194"/>
    </row>
    <row r="8" spans="1:10" x14ac:dyDescent="0.25">
      <c r="A8" s="6"/>
      <c r="B8" s="8"/>
      <c r="C8" s="43"/>
      <c r="D8" s="11"/>
      <c r="E8" s="6"/>
      <c r="F8" s="6"/>
      <c r="G8" s="6"/>
      <c r="H8" s="6"/>
      <c r="I8" s="6"/>
      <c r="J8" s="6"/>
    </row>
    <row r="9" spans="1:10" x14ac:dyDescent="0.25">
      <c r="A9" s="195"/>
      <c r="B9" s="196" t="s">
        <v>467</v>
      </c>
      <c r="C9" s="197"/>
      <c r="D9" s="195"/>
      <c r="E9" s="195"/>
      <c r="F9" s="195"/>
      <c r="G9" s="195"/>
      <c r="H9" s="195"/>
      <c r="I9" s="195"/>
      <c r="J9" s="195"/>
    </row>
    <row r="10" spans="1:10" x14ac:dyDescent="0.25">
      <c r="A10" s="6"/>
      <c r="B10" s="8"/>
      <c r="C10" s="43"/>
      <c r="D10" s="11"/>
      <c r="E10" s="6"/>
      <c r="F10" s="6"/>
      <c r="G10" s="6"/>
      <c r="H10" s="6"/>
      <c r="I10" s="6"/>
      <c r="J10" s="6"/>
    </row>
    <row r="11" spans="1:10" x14ac:dyDescent="0.25">
      <c r="A11" s="6"/>
      <c r="B11" s="8" t="s">
        <v>468</v>
      </c>
      <c r="C11" s="43"/>
      <c r="D11" s="11"/>
      <c r="E11" s="6"/>
      <c r="F11" s="6"/>
      <c r="G11" s="6"/>
      <c r="H11" s="6"/>
      <c r="I11" s="6"/>
      <c r="J11" s="6"/>
    </row>
    <row r="12" spans="1:10" x14ac:dyDescent="0.25">
      <c r="A12" s="6"/>
      <c r="B12" s="199" t="s">
        <v>469</v>
      </c>
      <c r="C12" s="43"/>
      <c r="D12" s="11">
        <f>D5*0.6</f>
        <v>232.05177112500013</v>
      </c>
      <c r="E12" s="11">
        <f t="shared" ref="E12:J12" si="1">E5*0.6</f>
        <v>326.80181999488633</v>
      </c>
      <c r="F12" s="11">
        <f t="shared" si="1"/>
        <v>349.36506920914064</v>
      </c>
      <c r="G12" s="11">
        <f t="shared" si="1"/>
        <v>389.09131067097417</v>
      </c>
      <c r="H12" s="11">
        <f t="shared" si="1"/>
        <v>430.43836797920028</v>
      </c>
      <c r="I12" s="11">
        <f t="shared" si="1"/>
        <v>474.90740859711639</v>
      </c>
      <c r="J12" s="11">
        <f t="shared" si="1"/>
        <v>514.00118543945848</v>
      </c>
    </row>
    <row r="13" spans="1:10" x14ac:dyDescent="0.25">
      <c r="A13" s="6"/>
      <c r="B13" s="199" t="s">
        <v>470</v>
      </c>
      <c r="C13" s="43"/>
      <c r="D13" s="11">
        <f>D5*0.4</f>
        <v>154.70118075000011</v>
      </c>
      <c r="E13" s="11">
        <f t="shared" ref="E13:J13" si="2">E5*0.4</f>
        <v>217.86787999659091</v>
      </c>
      <c r="F13" s="11">
        <f t="shared" si="2"/>
        <v>232.9100461394271</v>
      </c>
      <c r="G13" s="11">
        <f t="shared" si="2"/>
        <v>259.39420711398282</v>
      </c>
      <c r="H13" s="11">
        <f t="shared" si="2"/>
        <v>286.95891198613356</v>
      </c>
      <c r="I13" s="11">
        <f t="shared" si="2"/>
        <v>316.60493906474426</v>
      </c>
      <c r="J13" s="11">
        <f t="shared" si="2"/>
        <v>342.66745695963903</v>
      </c>
    </row>
    <row r="14" spans="1:10" x14ac:dyDescent="0.25">
      <c r="A14" s="6"/>
      <c r="B14" s="6"/>
      <c r="C14" s="43"/>
      <c r="D14" s="6"/>
      <c r="E14" s="6"/>
      <c r="F14" s="6"/>
      <c r="G14" s="6"/>
      <c r="H14" s="6"/>
      <c r="I14" s="6"/>
      <c r="J14" s="6"/>
    </row>
  </sheetData>
  <mergeCells count="1">
    <mergeCell ref="D1:J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>
      <selection activeCell="B21" sqref="B21"/>
    </sheetView>
  </sheetViews>
  <sheetFormatPr defaultRowHeight="15" x14ac:dyDescent="0.25"/>
  <cols>
    <col min="1" max="1" width="41.7109375" style="5" customWidth="1"/>
    <col min="2" max="2" width="13" style="1" bestFit="1" customWidth="1"/>
    <col min="3" max="8" width="10.85546875" style="1" customWidth="1"/>
    <col min="9" max="9" width="11.28515625" style="1" bestFit="1" customWidth="1"/>
    <col min="10" max="16384" width="9.140625" style="1"/>
  </cols>
  <sheetData>
    <row r="1" spans="1:8" x14ac:dyDescent="0.25">
      <c r="A1" s="201" t="s">
        <v>1</v>
      </c>
      <c r="B1" s="188" t="s">
        <v>36</v>
      </c>
      <c r="C1" s="188" t="s">
        <v>37</v>
      </c>
      <c r="D1" s="188" t="s">
        <v>38</v>
      </c>
      <c r="E1" s="188" t="s">
        <v>39</v>
      </c>
      <c r="F1" s="188" t="s">
        <v>40</v>
      </c>
      <c r="G1" s="188" t="s">
        <v>41</v>
      </c>
      <c r="H1" s="188" t="s">
        <v>42</v>
      </c>
    </row>
    <row r="2" spans="1:8" x14ac:dyDescent="0.25">
      <c r="A2" s="10"/>
      <c r="B2" s="6"/>
      <c r="C2" s="6"/>
      <c r="D2" s="6"/>
      <c r="E2" s="6"/>
      <c r="F2" s="6"/>
      <c r="G2" s="6"/>
      <c r="H2" s="6"/>
    </row>
    <row r="3" spans="1:8" x14ac:dyDescent="0.25">
      <c r="A3" s="80" t="s">
        <v>473</v>
      </c>
      <c r="B3" s="6"/>
      <c r="C3" s="6"/>
      <c r="D3" s="6"/>
      <c r="E3" s="6"/>
      <c r="F3" s="6"/>
      <c r="G3" s="6"/>
      <c r="H3" s="6"/>
    </row>
    <row r="4" spans="1:8" x14ac:dyDescent="0.25">
      <c r="A4" s="10" t="s">
        <v>474</v>
      </c>
      <c r="B4" s="202">
        <f>'Output Schedule'!B12+'Output Schedule'!B17</f>
        <v>5000</v>
      </c>
      <c r="C4" s="202">
        <f>'Output Schedule'!C12+'Output Schedule'!C17</f>
        <v>5500</v>
      </c>
      <c r="D4" s="202">
        <f>'Output Schedule'!D12+'Output Schedule'!D17</f>
        <v>6000.0000000000009</v>
      </c>
      <c r="E4" s="202">
        <f>'Output Schedule'!E12+'Output Schedule'!E17</f>
        <v>6500.0000000000009</v>
      </c>
      <c r="F4" s="202">
        <f>'Output Schedule'!F12+'Output Schedule'!F17</f>
        <v>7000.0000000000018</v>
      </c>
      <c r="G4" s="202">
        <f>'Output Schedule'!G12+'Output Schedule'!G17</f>
        <v>7500.0000000000018</v>
      </c>
      <c r="H4" s="202">
        <f>'Output Schedule'!H12+'Output Schedule'!H17</f>
        <v>8000.0000000000027</v>
      </c>
    </row>
    <row r="5" spans="1:8" x14ac:dyDescent="0.25">
      <c r="A5" s="10" t="s">
        <v>475</v>
      </c>
      <c r="B5" s="19">
        <f>'[3]Prices and Yields'!D3</f>
        <v>4.9190283400809713</v>
      </c>
      <c r="C5" s="6"/>
      <c r="D5" s="6"/>
      <c r="E5" s="6"/>
      <c r="F5" s="6"/>
      <c r="G5" s="6"/>
      <c r="H5" s="6"/>
    </row>
    <row r="6" spans="1:8" x14ac:dyDescent="0.25">
      <c r="A6" s="10" t="s">
        <v>487</v>
      </c>
      <c r="B6" s="9">
        <f t="shared" ref="B6:H6" si="0">B4/$B$5</f>
        <v>1016.4609053497943</v>
      </c>
      <c r="C6" s="9">
        <f t="shared" si="0"/>
        <v>1118.1069958847738</v>
      </c>
      <c r="D6" s="9">
        <f t="shared" si="0"/>
        <v>1219.7530864197533</v>
      </c>
      <c r="E6" s="9">
        <f t="shared" si="0"/>
        <v>1321.3991769547329</v>
      </c>
      <c r="F6" s="9">
        <f t="shared" si="0"/>
        <v>1423.0452674897124</v>
      </c>
      <c r="G6" s="9">
        <f t="shared" si="0"/>
        <v>1524.6913580246919</v>
      </c>
      <c r="H6" s="9">
        <f t="shared" si="0"/>
        <v>1626.3374485596714</v>
      </c>
    </row>
    <row r="7" spans="1:8" x14ac:dyDescent="0.25">
      <c r="A7" s="10" t="s">
        <v>488</v>
      </c>
      <c r="B7" s="9">
        <f>B6/2.47</f>
        <v>411.52263374485597</v>
      </c>
      <c r="C7" s="9">
        <f t="shared" ref="C7:H7" si="1">C6/2.47</f>
        <v>452.67489711934161</v>
      </c>
      <c r="D7" s="9">
        <f t="shared" si="1"/>
        <v>493.82716049382725</v>
      </c>
      <c r="E7" s="9">
        <f t="shared" si="1"/>
        <v>534.97942386831289</v>
      </c>
      <c r="F7" s="9">
        <f t="shared" si="1"/>
        <v>576.13168724279853</v>
      </c>
      <c r="G7" s="9">
        <f t="shared" si="1"/>
        <v>617.28395061728418</v>
      </c>
      <c r="H7" s="9">
        <f t="shared" si="1"/>
        <v>658.4362139917697</v>
      </c>
    </row>
    <row r="8" spans="1:8" ht="30" x14ac:dyDescent="0.25">
      <c r="A8" s="203" t="s">
        <v>489</v>
      </c>
      <c r="B8" s="204">
        <f>ROUND(B7,0)</f>
        <v>412</v>
      </c>
      <c r="C8" s="204">
        <f t="shared" ref="C8:H8" si="2">ROUND(C7,0)</f>
        <v>453</v>
      </c>
      <c r="D8" s="204">
        <f t="shared" si="2"/>
        <v>494</v>
      </c>
      <c r="E8" s="204">
        <f t="shared" si="2"/>
        <v>535</v>
      </c>
      <c r="F8" s="204">
        <f t="shared" si="2"/>
        <v>576</v>
      </c>
      <c r="G8" s="204">
        <f t="shared" si="2"/>
        <v>617</v>
      </c>
      <c r="H8" s="204">
        <f t="shared" si="2"/>
        <v>658</v>
      </c>
    </row>
    <row r="9" spans="1:8" ht="30" x14ac:dyDescent="0.25">
      <c r="A9" s="203" t="s">
        <v>490</v>
      </c>
      <c r="B9" s="205">
        <f>'Benefit-FPO-Producer'!D13</f>
        <v>154.70118075000011</v>
      </c>
      <c r="C9" s="205">
        <f>'Benefit-FPO-Producer'!E13</f>
        <v>217.86787999659091</v>
      </c>
      <c r="D9" s="205">
        <f>'Benefit-FPO-Producer'!F13</f>
        <v>232.9100461394271</v>
      </c>
      <c r="E9" s="205">
        <f>'Benefit-FPO-Producer'!G13</f>
        <v>259.39420711398282</v>
      </c>
      <c r="F9" s="205">
        <f>'Benefit-FPO-Producer'!H13</f>
        <v>286.95891198613356</v>
      </c>
      <c r="G9" s="205">
        <f>'Benefit-FPO-Producer'!I13</f>
        <v>316.60493906474426</v>
      </c>
      <c r="H9" s="205">
        <f>'Benefit-FPO-Producer'!J13</f>
        <v>342.66745695963903</v>
      </c>
    </row>
    <row r="10" spans="1:8" ht="30.75" customHeight="1" x14ac:dyDescent="0.25">
      <c r="A10" s="200" t="s">
        <v>476</v>
      </c>
      <c r="B10" s="206">
        <f>B9*B4/100000</f>
        <v>7.7350590375000055</v>
      </c>
      <c r="C10" s="206">
        <f t="shared" ref="C10:H10" si="3">C9*C4/100000</f>
        <v>11.982733399812499</v>
      </c>
      <c r="D10" s="206">
        <f t="shared" si="3"/>
        <v>13.974602768365626</v>
      </c>
      <c r="E10" s="206">
        <f t="shared" si="3"/>
        <v>16.860623462408885</v>
      </c>
      <c r="F10" s="206">
        <f t="shared" si="3"/>
        <v>20.087123839029353</v>
      </c>
      <c r="G10" s="206">
        <f t="shared" si="3"/>
        <v>23.745370429855829</v>
      </c>
      <c r="H10" s="206">
        <f t="shared" si="3"/>
        <v>27.413396556771133</v>
      </c>
    </row>
    <row r="11" spans="1:8" x14ac:dyDescent="0.25">
      <c r="A11" s="80"/>
      <c r="B11" s="35"/>
      <c r="C11" s="35"/>
      <c r="D11" s="35"/>
      <c r="E11" s="35"/>
      <c r="F11" s="35"/>
      <c r="G11" s="35"/>
      <c r="H11" s="35"/>
    </row>
    <row r="12" spans="1:8" x14ac:dyDescent="0.25">
      <c r="A12" s="207" t="s">
        <v>483</v>
      </c>
      <c r="B12" s="208">
        <f>'Benefit-FPO-Producer'!D12</f>
        <v>232.05177112500013</v>
      </c>
      <c r="C12" s="208">
        <f>'Benefit-FPO-Producer'!E12</f>
        <v>326.80181999488633</v>
      </c>
      <c r="D12" s="208">
        <f>'Benefit-FPO-Producer'!F12</f>
        <v>349.36506920914064</v>
      </c>
      <c r="E12" s="208">
        <f>'Benefit-FPO-Producer'!G12</f>
        <v>389.09131067097417</v>
      </c>
      <c r="F12" s="208">
        <f>'Benefit-FPO-Producer'!H12</f>
        <v>430.43836797920028</v>
      </c>
      <c r="G12" s="208">
        <f>'Benefit-FPO-Producer'!I12</f>
        <v>474.90740859711639</v>
      </c>
      <c r="H12" s="208">
        <f>'Benefit-FPO-Producer'!J12</f>
        <v>514.00118543945848</v>
      </c>
    </row>
    <row r="13" spans="1:8" ht="30" x14ac:dyDescent="0.25">
      <c r="A13" s="209" t="s">
        <v>477</v>
      </c>
      <c r="B13" s="208">
        <f t="shared" ref="B13:H13" si="4">B4*B12/100000</f>
        <v>11.602588556250005</v>
      </c>
      <c r="C13" s="208">
        <f t="shared" si="4"/>
        <v>17.974100099718747</v>
      </c>
      <c r="D13" s="208">
        <f t="shared" si="4"/>
        <v>20.961904152548442</v>
      </c>
      <c r="E13" s="208">
        <f t="shared" si="4"/>
        <v>25.290935193613326</v>
      </c>
      <c r="F13" s="208">
        <f t="shared" si="4"/>
        <v>30.130685758544029</v>
      </c>
      <c r="G13" s="208">
        <f t="shared" si="4"/>
        <v>35.618055644783738</v>
      </c>
      <c r="H13" s="208">
        <f t="shared" si="4"/>
        <v>41.120094835156692</v>
      </c>
    </row>
    <row r="14" spans="1:8" x14ac:dyDescent="0.25">
      <c r="A14" s="10"/>
      <c r="B14" s="45"/>
      <c r="C14" s="45"/>
      <c r="D14" s="45"/>
      <c r="E14" s="6"/>
      <c r="F14" s="6"/>
      <c r="G14" s="6"/>
      <c r="H14" s="6"/>
    </row>
    <row r="15" spans="1:8" x14ac:dyDescent="0.25">
      <c r="A15" s="210"/>
      <c r="B15" s="211"/>
      <c r="C15" s="211"/>
      <c r="D15" s="211"/>
      <c r="E15" s="211"/>
      <c r="F15" s="211"/>
      <c r="G15" s="211"/>
      <c r="H15" s="211"/>
    </row>
    <row r="16" spans="1:8" ht="30" x14ac:dyDescent="0.25">
      <c r="A16" s="210" t="s">
        <v>484</v>
      </c>
      <c r="B16" s="211">
        <f>B13+B10</f>
        <v>19.33764759375001</v>
      </c>
      <c r="C16" s="211">
        <f t="shared" ref="C16:H16" si="5">C13+C10</f>
        <v>29.956833499531246</v>
      </c>
      <c r="D16" s="211">
        <f t="shared" si="5"/>
        <v>34.93650692091407</v>
      </c>
      <c r="E16" s="211">
        <f t="shared" si="5"/>
        <v>42.15155865602221</v>
      </c>
      <c r="F16" s="211">
        <f t="shared" si="5"/>
        <v>50.217809597573378</v>
      </c>
      <c r="G16" s="211">
        <f t="shared" si="5"/>
        <v>59.363426074639563</v>
      </c>
      <c r="H16" s="211">
        <f t="shared" si="5"/>
        <v>68.533491391927825</v>
      </c>
    </row>
    <row r="17" spans="1:8" x14ac:dyDescent="0.25">
      <c r="A17" s="212" t="s">
        <v>478</v>
      </c>
      <c r="B17" s="36">
        <f>1/1.09</f>
        <v>0.9174311926605504</v>
      </c>
      <c r="C17" s="36">
        <f>B17/1.09</f>
        <v>0.84167999326655996</v>
      </c>
      <c r="D17" s="36">
        <f t="shared" ref="D17:H17" si="6">C17/1.09</f>
        <v>0.77218348006106408</v>
      </c>
      <c r="E17" s="36">
        <f t="shared" si="6"/>
        <v>0.7084252110651964</v>
      </c>
      <c r="F17" s="36">
        <f t="shared" si="6"/>
        <v>0.64993138629834524</v>
      </c>
      <c r="G17" s="36">
        <f t="shared" si="6"/>
        <v>0.5962673268792158</v>
      </c>
      <c r="H17" s="36">
        <f t="shared" si="6"/>
        <v>0.5470342448433172</v>
      </c>
    </row>
    <row r="18" spans="1:8" x14ac:dyDescent="0.25">
      <c r="A18" s="33" t="s">
        <v>479</v>
      </c>
      <c r="B18" s="45">
        <f>B16*B17</f>
        <v>17.740961095183494</v>
      </c>
      <c r="C18" s="45">
        <f t="shared" ref="C18:H18" si="7">C16*C17</f>
        <v>25.214067418172917</v>
      </c>
      <c r="D18" s="45">
        <f t="shared" si="7"/>
        <v>26.977393495368876</v>
      </c>
      <c r="E18" s="45">
        <f t="shared" si="7"/>
        <v>29.86122683761954</v>
      </c>
      <c r="F18" s="45">
        <f t="shared" si="7"/>
        <v>32.63813060861721</v>
      </c>
      <c r="G18" s="45">
        <f t="shared" si="7"/>
        <v>35.396471379917273</v>
      </c>
      <c r="H18" s="45">
        <f t="shared" si="7"/>
        <v>37.490166710059221</v>
      </c>
    </row>
    <row r="19" spans="1:8" s="3" customFormat="1" ht="30" x14ac:dyDescent="0.25">
      <c r="A19" s="210" t="s">
        <v>480</v>
      </c>
      <c r="B19" s="11">
        <f>SUM(B18:H18)</f>
        <v>205.31841754493851</v>
      </c>
      <c r="C19" s="8"/>
      <c r="D19" s="8"/>
      <c r="E19" s="8"/>
      <c r="F19" s="8"/>
      <c r="G19" s="8"/>
      <c r="H19" s="8"/>
    </row>
    <row r="20" spans="1:8" x14ac:dyDescent="0.25">
      <c r="A20" s="10" t="s">
        <v>481</v>
      </c>
      <c r="B20" s="45">
        <f>'BEP &amp; DSCR'!B20</f>
        <v>315.50123854166668</v>
      </c>
      <c r="C20" s="6"/>
      <c r="D20" s="6"/>
      <c r="E20" s="6"/>
      <c r="F20" s="6"/>
      <c r="G20" s="6"/>
      <c r="H20" s="6"/>
    </row>
    <row r="21" spans="1:8" ht="33.75" customHeight="1" x14ac:dyDescent="0.25">
      <c r="A21" s="200" t="s">
        <v>486</v>
      </c>
      <c r="B21" s="198">
        <f>B19-B20</f>
        <v>-110.18282099672817</v>
      </c>
      <c r="C21" s="6"/>
      <c r="D21" s="6"/>
      <c r="E21" s="6"/>
      <c r="F21" s="6"/>
      <c r="G21" s="6"/>
      <c r="H21" s="6"/>
    </row>
    <row r="22" spans="1:8" x14ac:dyDescent="0.25">
      <c r="A22" s="200" t="s">
        <v>482</v>
      </c>
      <c r="B22" s="214">
        <f>IRR(A24:H24)</f>
        <v>-7.4597274999380625E-3</v>
      </c>
      <c r="C22" s="6"/>
      <c r="D22" s="6"/>
      <c r="E22" s="6"/>
      <c r="F22" s="6"/>
      <c r="G22" s="6"/>
      <c r="H22" s="6"/>
    </row>
    <row r="24" spans="1:8" x14ac:dyDescent="0.25">
      <c r="A24" s="213">
        <f>-B20</f>
        <v>-315.50123854166668</v>
      </c>
      <c r="B24" s="25">
        <f>B16</f>
        <v>19.33764759375001</v>
      </c>
      <c r="C24" s="25">
        <f t="shared" ref="C24:H24" si="8">C16</f>
        <v>29.956833499531246</v>
      </c>
      <c r="D24" s="25">
        <f t="shared" si="8"/>
        <v>34.93650692091407</v>
      </c>
      <c r="E24" s="25">
        <f t="shared" si="8"/>
        <v>42.15155865602221</v>
      </c>
      <c r="F24" s="25">
        <f t="shared" si="8"/>
        <v>50.217809597573378</v>
      </c>
      <c r="G24" s="25">
        <f t="shared" si="8"/>
        <v>59.363426074639563</v>
      </c>
      <c r="H24" s="25">
        <f t="shared" si="8"/>
        <v>68.533491391927825</v>
      </c>
    </row>
    <row r="26" spans="1:8" x14ac:dyDescent="0.25">
      <c r="B26" s="79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3" sqref="B3"/>
    </sheetView>
  </sheetViews>
  <sheetFormatPr defaultRowHeight="15" x14ac:dyDescent="0.25"/>
  <cols>
    <col min="1" max="1" width="64.28515625" bestFit="1" customWidth="1"/>
    <col min="3" max="3" width="14.28515625" bestFit="1" customWidth="1"/>
  </cols>
  <sheetData>
    <row r="1" spans="1:7" x14ac:dyDescent="0.25">
      <c r="A1" s="245" t="s">
        <v>1</v>
      </c>
      <c r="B1" s="245" t="s">
        <v>199</v>
      </c>
      <c r="C1" s="245" t="s">
        <v>212</v>
      </c>
      <c r="D1" s="245" t="s">
        <v>225</v>
      </c>
      <c r="E1" s="245" t="s">
        <v>238</v>
      </c>
      <c r="F1" s="245" t="s">
        <v>251</v>
      </c>
      <c r="G1" s="245" t="s">
        <v>264</v>
      </c>
    </row>
    <row r="2" spans="1:7" x14ac:dyDescent="0.25">
      <c r="A2" s="246" t="s">
        <v>549</v>
      </c>
      <c r="B2" s="247">
        <f>'P&amp;L'!B9</f>
        <v>197.88800000000001</v>
      </c>
      <c r="C2" s="247">
        <f>'P&amp;L'!C9</f>
        <v>237.43260000000001</v>
      </c>
      <c r="D2" s="247">
        <f>'P&amp;L'!D9</f>
        <v>272.72230000000002</v>
      </c>
      <c r="E2" s="247">
        <f>'P&amp;L'!E9</f>
        <v>309.98019999999997</v>
      </c>
      <c r="F2" s="247">
        <f>'P&amp;L'!F9</f>
        <v>350.88290000000001</v>
      </c>
      <c r="G2" s="247">
        <f>'P&amp;L'!G9</f>
        <v>394.34230000000002</v>
      </c>
    </row>
    <row r="3" spans="1:7" x14ac:dyDescent="0.25">
      <c r="A3" s="246" t="s">
        <v>555</v>
      </c>
      <c r="B3" s="247">
        <f>'P&amp;L'!B14-'P&amp;L'!B9</f>
        <v>5.5</v>
      </c>
      <c r="C3" s="247">
        <f>'P&amp;L'!C14-'P&amp;L'!C9</f>
        <v>1.4300000000000068</v>
      </c>
      <c r="D3" s="247">
        <f>'P&amp;L'!D14-'P&amp;L'!D9</f>
        <v>0.84289999999998599</v>
      </c>
      <c r="E3" s="247">
        <f>'P&amp;L'!E14-'P&amp;L'!E9</f>
        <v>1.1408999999999878</v>
      </c>
      <c r="F3" s="247">
        <f>'P&amp;L'!F14-'P&amp;L'!F9</f>
        <v>0.99209999999999354</v>
      </c>
      <c r="G3" s="247">
        <f>'P&amp;L'!G14-'P&amp;L'!G9</f>
        <v>1.45150000000001</v>
      </c>
    </row>
    <row r="4" spans="1:7" x14ac:dyDescent="0.25">
      <c r="A4" s="246" t="s">
        <v>550</v>
      </c>
      <c r="B4" s="248">
        <f>'P&amp;L'!B21+'P&amp;L'!B23+'P&amp;L'!B25-'Opex Schedule'!C18</f>
        <v>159.13454999999999</v>
      </c>
      <c r="C4" s="248">
        <f>'P&amp;L'!C21+'P&amp;L'!C23+'P&amp;L'!C25-'Opex Schedule'!D18</f>
        <v>180.6324975</v>
      </c>
      <c r="D4" s="248">
        <f>'P&amp;L'!D21+'P&amp;L'!D23+'P&amp;L'!D25-'Opex Schedule'!E18</f>
        <v>204.02510237499996</v>
      </c>
      <c r="E4" s="248">
        <f>'P&amp;L'!E21+'P&amp;L'!E23+'P&amp;L'!E25-'Opex Schedule'!F18</f>
        <v>229.12898749375003</v>
      </c>
      <c r="F4" s="248">
        <f>'P&amp;L'!F21+'P&amp;L'!F23+'P&amp;L'!F25-'Opex Schedule'!G18</f>
        <v>256.36248686843749</v>
      </c>
      <c r="G4" s="248">
        <f>'P&amp;L'!G21+'P&amp;L'!G23+'P&amp;L'!G25-'Opex Schedule'!H18</f>
        <v>285.30415121185939</v>
      </c>
    </row>
    <row r="5" spans="1:7" x14ac:dyDescent="0.25">
      <c r="A5" s="246" t="s">
        <v>551</v>
      </c>
      <c r="B5" s="248">
        <f>B2-B4</f>
        <v>38.753450000000015</v>
      </c>
      <c r="C5" s="248">
        <f t="shared" ref="C5:G5" si="0">C2-C4</f>
        <v>56.800102500000008</v>
      </c>
      <c r="D5" s="248">
        <f t="shared" si="0"/>
        <v>68.697197625000058</v>
      </c>
      <c r="E5" s="248">
        <f t="shared" si="0"/>
        <v>80.851212506249936</v>
      </c>
      <c r="F5" s="248">
        <f t="shared" si="0"/>
        <v>94.52041313156252</v>
      </c>
      <c r="G5" s="248">
        <f t="shared" si="0"/>
        <v>109.03814878814063</v>
      </c>
    </row>
    <row r="6" spans="1:7" x14ac:dyDescent="0.25">
      <c r="A6" s="246" t="s">
        <v>552</v>
      </c>
      <c r="B6" s="247">
        <f>'P&amp;L'!B29+'P&amp;L'!B27</f>
        <v>34.455450000000013</v>
      </c>
      <c r="C6" s="247">
        <f>'P&amp;L'!C29+'P&amp;L'!C27</f>
        <v>47.942202500000008</v>
      </c>
      <c r="D6" s="247">
        <f>'P&amp;L'!D29+'P&amp;L'!D27</f>
        <v>58.737802625000015</v>
      </c>
      <c r="E6" s="247">
        <f>'P&amp;L'!E29+'P&amp;L'!E27</f>
        <v>70.649702756249923</v>
      </c>
      <c r="F6" s="247">
        <f>'P&amp;L'!F29+'P&amp;L'!F27</f>
        <v>83.602982894062492</v>
      </c>
      <c r="G6" s="247">
        <f>'P&amp;L'!G29+'P&amp;L'!G27</f>
        <v>97.984642038765642</v>
      </c>
    </row>
    <row r="7" spans="1:7" x14ac:dyDescent="0.25">
      <c r="A7" s="246" t="s">
        <v>553</v>
      </c>
      <c r="B7" s="247">
        <f>'P&amp;L'!B34</f>
        <v>19.337647593750013</v>
      </c>
      <c r="C7" s="247">
        <f>'P&amp;L'!C34</f>
        <v>32.556495110937504</v>
      </c>
      <c r="D7" s="247">
        <f>'P&amp;L'!D34</f>
        <v>43.17804367273439</v>
      </c>
      <c r="E7" s="247">
        <f>'P&amp;L'!E34</f>
        <v>54.890109490746013</v>
      </c>
      <c r="F7" s="247">
        <f>'P&amp;L'!F34</f>
        <v>67.640618052783395</v>
      </c>
      <c r="G7" s="247">
        <f>'P&amp;L'!G34</f>
        <v>81.778837552297588</v>
      </c>
    </row>
    <row r="8" spans="1:7" x14ac:dyDescent="0.25">
      <c r="A8" s="246" t="s">
        <v>554</v>
      </c>
      <c r="B8" s="247">
        <f>'P&amp;L'!B36</f>
        <v>19.337647593750013</v>
      </c>
      <c r="C8" s="247">
        <f>'P&amp;L'!C36</f>
        <v>29.95683349953125</v>
      </c>
      <c r="D8" s="247">
        <f>'P&amp;L'!D36</f>
        <v>34.93650692091407</v>
      </c>
      <c r="E8" s="247">
        <f>'P&amp;L'!E36</f>
        <v>42.15155865602221</v>
      </c>
      <c r="F8" s="247">
        <f>'P&amp;L'!F36</f>
        <v>50.217809597573378</v>
      </c>
      <c r="G8" s="247">
        <f>'P&amp;L'!G36</f>
        <v>59.363426074639563</v>
      </c>
    </row>
    <row r="12" spans="1:7" x14ac:dyDescent="0.25">
      <c r="C12" s="24"/>
    </row>
    <row r="14" spans="1:7" x14ac:dyDescent="0.25">
      <c r="C14" s="24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view="pageBreakPreview" zoomScale="60" zoomScaleNormal="100" workbookViewId="0">
      <selection activeCell="A2" sqref="A2:K56"/>
    </sheetView>
  </sheetViews>
  <sheetFormatPr defaultRowHeight="15" x14ac:dyDescent="0.25"/>
  <cols>
    <col min="1" max="1" width="48.85546875" bestFit="1" customWidth="1"/>
    <col min="2" max="2" width="10.5703125" customWidth="1"/>
    <col min="3" max="6" width="9.7109375" bestFit="1" customWidth="1"/>
  </cols>
  <sheetData>
    <row r="1" spans="1:11" x14ac:dyDescent="0.25">
      <c r="A1" s="373" t="s">
        <v>562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 x14ac:dyDescent="0.25">
      <c r="A2" s="250" t="s">
        <v>563</v>
      </c>
      <c r="B2" s="250" t="s">
        <v>564</v>
      </c>
      <c r="C2" s="250" t="s">
        <v>565</v>
      </c>
      <c r="D2" s="250" t="s">
        <v>566</v>
      </c>
      <c r="E2" s="250" t="s">
        <v>567</v>
      </c>
      <c r="F2" s="250" t="s">
        <v>568</v>
      </c>
      <c r="G2" s="250" t="s">
        <v>577</v>
      </c>
      <c r="H2" s="250" t="s">
        <v>578</v>
      </c>
      <c r="I2" s="250" t="s">
        <v>579</v>
      </c>
      <c r="J2" s="250" t="s">
        <v>580</v>
      </c>
      <c r="K2" s="250" t="s">
        <v>581</v>
      </c>
    </row>
    <row r="3" spans="1:11" x14ac:dyDescent="0.25">
      <c r="A3" s="251" t="str">
        <f>'P&amp;L'!A5</f>
        <v xml:space="preserve">Revenue from Sale </v>
      </c>
      <c r="B3" s="264">
        <f>+'P&amp;L'!B5*1.1</f>
        <v>144.10000000000002</v>
      </c>
      <c r="C3" s="264">
        <f>+'P&amp;L'!C5*1.1</f>
        <v>172.15275</v>
      </c>
      <c r="D3" s="264">
        <f>+'P&amp;L'!D5*1.1</f>
        <v>198.11033000000003</v>
      </c>
      <c r="E3" s="264">
        <f>+'P&amp;L'!E5*1.1</f>
        <v>225.13656000000003</v>
      </c>
      <c r="F3" s="264">
        <f>+'P&amp;L'!F5*1.1</f>
        <v>254.89827</v>
      </c>
      <c r="G3" s="264">
        <f>+'P&amp;L'!G5*1.1</f>
        <v>286.35728</v>
      </c>
      <c r="H3" s="264">
        <f>+'P&amp;L'!H5*1.1</f>
        <v>321.23905000000002</v>
      </c>
      <c r="I3" s="264">
        <f>+'P&amp;L'!I5*1.1</f>
        <v>358.40354000000008</v>
      </c>
      <c r="J3" s="264">
        <f>+'P&amp;L'!J5*1.1</f>
        <v>397.47355999999996</v>
      </c>
      <c r="K3" s="264">
        <f>+'P&amp;L'!K5*1.1</f>
        <v>441.73338000000007</v>
      </c>
    </row>
    <row r="4" spans="1:11" x14ac:dyDescent="0.25">
      <c r="A4" s="251" t="str">
        <f>'P&amp;L'!A6</f>
        <v>Revenue- Service Charges - Rice Milling</v>
      </c>
      <c r="B4" s="264">
        <f>+'P&amp;L'!B6*1.1</f>
        <v>54.45</v>
      </c>
      <c r="C4" s="264">
        <f>+'P&amp;L'!C6</f>
        <v>57.172499999999999</v>
      </c>
      <c r="D4" s="264">
        <f>+'P&amp;L'!D6</f>
        <v>65.50200000000001</v>
      </c>
      <c r="E4" s="264">
        <f>+'P&amp;L'!E6</f>
        <v>74.529000000000011</v>
      </c>
      <c r="F4" s="264">
        <f>+'P&amp;L'!F6</f>
        <v>84.294000000000025</v>
      </c>
      <c r="G4" s="264">
        <f>+'P&amp;L'!G6</f>
        <v>94.83750000000002</v>
      </c>
      <c r="H4" s="264">
        <f>+'P&amp;L'!H6</f>
        <v>106.20000000000003</v>
      </c>
      <c r="I4" s="264">
        <f>+'P&amp;L'!I6</f>
        <v>118.49850000000004</v>
      </c>
      <c r="J4" s="264">
        <f>+'P&amp;L'!J6</f>
        <v>131.70600000000005</v>
      </c>
      <c r="K4" s="264">
        <f>+'P&amp;L'!K6*1.1</f>
        <v>160.54335000000006</v>
      </c>
    </row>
    <row r="5" spans="1:11" x14ac:dyDescent="0.25">
      <c r="A5" s="251" t="str">
        <f>'P&amp;L'!A7</f>
        <v>Revenue- warehouse</v>
      </c>
      <c r="B5" s="264">
        <f>+'P&amp;L'!B7*1.1</f>
        <v>14.968800000000002</v>
      </c>
      <c r="C5" s="264">
        <f>+'P&amp;L'!C7*1.1</f>
        <v>20.79</v>
      </c>
      <c r="D5" s="264">
        <f>+'P&amp;L'!D7*1.1</f>
        <v>23.1</v>
      </c>
      <c r="E5" s="264">
        <f>+'P&amp;L'!E7*1.1</f>
        <v>25.520000000000007</v>
      </c>
      <c r="F5" s="264">
        <f>+'P&amp;L'!F7*1.1</f>
        <v>28.050000000000008</v>
      </c>
      <c r="G5" s="264">
        <f>+'P&amp;L'!G7*1.1</f>
        <v>30.690000000000008</v>
      </c>
      <c r="H5" s="264">
        <f>+'P&amp;L'!H7*1.1</f>
        <v>31.680000000000007</v>
      </c>
      <c r="I5" s="264">
        <f>+'P&amp;L'!I7*1.1</f>
        <v>32.670000000000009</v>
      </c>
      <c r="J5" s="264">
        <f>+'P&amp;L'!J7*1.1</f>
        <v>33.660000000000011</v>
      </c>
      <c r="K5" s="264">
        <f>+'P&amp;L'!K7*1.1</f>
        <v>34.650000000000006</v>
      </c>
    </row>
    <row r="6" spans="1:11" x14ac:dyDescent="0.25">
      <c r="A6" s="251" t="str">
        <f>'P&amp;L'!A8</f>
        <v>Revenue from Weigh Bridge operation</v>
      </c>
      <c r="B6" s="264">
        <f>+'P&amp;L'!B8</f>
        <v>3.7800000000000002</v>
      </c>
      <c r="C6" s="264">
        <f>+'P&amp;L'!C8</f>
        <v>4.8575999999999997</v>
      </c>
      <c r="D6" s="264">
        <f>+'P&amp;L'!D8</f>
        <v>6.12</v>
      </c>
      <c r="E6" s="264">
        <f>+'P&amp;L'!E8</f>
        <v>7.5815999999999999</v>
      </c>
      <c r="F6" s="264">
        <f>+'P&amp;L'!F8</f>
        <v>9.3631999999999991</v>
      </c>
      <c r="G6" s="264">
        <f>+'P&amp;L'!G8</f>
        <v>11.280000000000001</v>
      </c>
      <c r="H6" s="264">
        <f>+'P&amp;L'!H8</f>
        <v>13.440000000000001</v>
      </c>
      <c r="I6" s="264">
        <f>+'P&amp;L'!I8</f>
        <v>15.857600000000001</v>
      </c>
      <c r="J6" s="264">
        <f>+'P&amp;L'!J8</f>
        <v>18.712800000000001</v>
      </c>
      <c r="K6" s="264">
        <f>+'P&amp;L'!K8</f>
        <v>21.705599999999997</v>
      </c>
    </row>
    <row r="7" spans="1:11" x14ac:dyDescent="0.25">
      <c r="A7" s="251" t="s">
        <v>583</v>
      </c>
      <c r="B7" s="252">
        <f>+'P&amp;L'!B12-'P&amp;L'!B11</f>
        <v>5.5</v>
      </c>
      <c r="C7" s="252">
        <f>+'P&amp;L'!C12-'P&amp;L'!C11</f>
        <v>1.4300000000000006</v>
      </c>
      <c r="D7" s="252">
        <f>+'P&amp;L'!D12-'P&amp;L'!D11</f>
        <v>0.84289999999999932</v>
      </c>
      <c r="E7" s="252">
        <f>+'P&amp;L'!E12-'P&amp;L'!E11</f>
        <v>1.1409000000000002</v>
      </c>
      <c r="F7" s="252">
        <f>+'P&amp;L'!F12-'P&amp;L'!F11</f>
        <v>0.99209999999999887</v>
      </c>
      <c r="G7" s="252">
        <f>+'P&amp;L'!G12-'P&amp;L'!G11</f>
        <v>1.4515000000000029</v>
      </c>
      <c r="H7" s="252">
        <f>+'P&amp;L'!H12-'P&amp;L'!H11</f>
        <v>1.1708999999999978</v>
      </c>
      <c r="I7" s="252">
        <f>+'P&amp;L'!I12-'P&amp;L'!I11</f>
        <v>1.2585999999999995</v>
      </c>
      <c r="J7" s="252">
        <f>+'P&amp;L'!J12-'P&amp;L'!J11</f>
        <v>2.3153000000000006</v>
      </c>
      <c r="K7" s="252">
        <f>+'P&amp;L'!K12-'P&amp;L'!K11</f>
        <v>1.5024999999999977</v>
      </c>
    </row>
    <row r="8" spans="1:11" x14ac:dyDescent="0.25">
      <c r="A8" s="250" t="s">
        <v>569</v>
      </c>
      <c r="B8" s="253">
        <f>SUM(B3:B7)</f>
        <v>222.7988</v>
      </c>
      <c r="C8" s="253">
        <f>SUM(C3:C7)</f>
        <v>256.40284999999994</v>
      </c>
      <c r="D8" s="253">
        <f>SUM(D3:D7)</f>
        <v>293.67523000000006</v>
      </c>
      <c r="E8" s="253">
        <f>SUM(E3:E7)</f>
        <v>333.90805999999998</v>
      </c>
      <c r="F8" s="253">
        <f>SUM(F3:F7)</f>
        <v>377.59757000000002</v>
      </c>
      <c r="G8" s="253">
        <f t="shared" ref="G8:K8" si="0">SUM(G3:G7)</f>
        <v>424.61628000000007</v>
      </c>
      <c r="H8" s="253">
        <f t="shared" si="0"/>
        <v>473.72995000000009</v>
      </c>
      <c r="I8" s="253">
        <f t="shared" si="0"/>
        <v>526.68824000000018</v>
      </c>
      <c r="J8" s="253">
        <f t="shared" si="0"/>
        <v>583.86766</v>
      </c>
      <c r="K8" s="253">
        <f t="shared" si="0"/>
        <v>660.13483000000019</v>
      </c>
    </row>
    <row r="9" spans="1:11" x14ac:dyDescent="0.25">
      <c r="A9" s="250" t="s">
        <v>570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spans="1:11" x14ac:dyDescent="0.25">
      <c r="A10" s="258" t="s">
        <v>582</v>
      </c>
      <c r="B10" s="252">
        <f>+'P&amp;L'!B21*1.1</f>
        <v>127.60000000000001</v>
      </c>
      <c r="C10" s="252">
        <f>+'P&amp;L'!C21*1.1</f>
        <v>147.11004000000003</v>
      </c>
      <c r="D10" s="252">
        <f>+'P&amp;L'!D21*1.1</f>
        <v>168.51934</v>
      </c>
      <c r="E10" s="252">
        <f>+'P&amp;L'!E21*1.1</f>
        <v>191.69700000000003</v>
      </c>
      <c r="F10" s="252">
        <f>+'P&amp;L'!F21*1.1</f>
        <v>216.74202</v>
      </c>
      <c r="G10" s="252">
        <f>+'P&amp;L'!G21*1.1</f>
        <v>243.83271000000002</v>
      </c>
      <c r="H10" s="252">
        <f>+'P&amp;L'!H21*1.1</f>
        <v>273.08731999999998</v>
      </c>
      <c r="I10" s="252">
        <f>+'P&amp;L'!I21*1.1</f>
        <v>304.62135000000006</v>
      </c>
      <c r="J10" s="252">
        <f>+'P&amp;L'!J21*1.1</f>
        <v>338.64544999999998</v>
      </c>
      <c r="K10" s="252">
        <f>+'P&amp;L'!K21*1.1</f>
        <v>375.27622000000008</v>
      </c>
    </row>
    <row r="11" spans="1:11" x14ac:dyDescent="0.25">
      <c r="A11" s="251" t="s">
        <v>571</v>
      </c>
      <c r="B11" s="252">
        <f>+'P&amp;L'!B23</f>
        <v>28.354549999999996</v>
      </c>
      <c r="C11" s="252">
        <f>+'P&amp;L'!C23</f>
        <v>29.789997499999998</v>
      </c>
      <c r="D11" s="252">
        <f>+'P&amp;L'!D23</f>
        <v>31.297997375000001</v>
      </c>
      <c r="E11" s="252">
        <f>+'P&amp;L'!E23</f>
        <v>32.878397243750008</v>
      </c>
      <c r="F11" s="252">
        <f>+'P&amp;L'!F23</f>
        <v>34.534817105937506</v>
      </c>
      <c r="G11" s="252">
        <f>+'P&amp;L'!G23</f>
        <v>36.271057961234384</v>
      </c>
      <c r="H11" s="252">
        <f>+'P&amp;L'!H23</f>
        <v>38.091110859296109</v>
      </c>
      <c r="I11" s="252">
        <f>+'P&amp;L'!I23</f>
        <v>39.999166402260911</v>
      </c>
      <c r="J11" s="252">
        <f>+'P&amp;L'!J23</f>
        <v>41.999624722373959</v>
      </c>
      <c r="K11" s="252">
        <f>+'P&amp;L'!K23</f>
        <v>44.097105958492662</v>
      </c>
    </row>
    <row r="12" spans="1:11" x14ac:dyDescent="0.25">
      <c r="A12" s="251" t="s">
        <v>337</v>
      </c>
      <c r="B12" s="252">
        <f>+'P&amp;L'!B25</f>
        <v>24.577999999999999</v>
      </c>
      <c r="C12" s="252">
        <f>+'P&amp;L'!C25</f>
        <v>27.394000000000002</v>
      </c>
      <c r="D12" s="252">
        <f>+'P&amp;L'!D25</f>
        <v>30.329999999999995</v>
      </c>
      <c r="E12" s="252">
        <f>+'P&amp;L'!E25</f>
        <v>33.323000000000008</v>
      </c>
      <c r="F12" s="252">
        <f>+'P&amp;L'!F25</f>
        <v>36.699000000000012</v>
      </c>
      <c r="G12" s="252">
        <f>+'P&amp;L'!G25</f>
        <v>39.872</v>
      </c>
      <c r="H12" s="252">
        <f>+'P&amp;L'!H25</f>
        <v>43.037000000000006</v>
      </c>
      <c r="I12" s="252">
        <f>+'P&amp;L'!I25</f>
        <v>45.620000000000012</v>
      </c>
      <c r="J12" s="252">
        <f>+'P&amp;L'!J25</f>
        <v>48.491000000000007</v>
      </c>
      <c r="K12" s="252">
        <f>+'P&amp;L'!K25</f>
        <v>51.099000000000004</v>
      </c>
    </row>
    <row r="13" spans="1:11" x14ac:dyDescent="0.25">
      <c r="A13" s="250" t="s">
        <v>572</v>
      </c>
      <c r="B13" s="253">
        <f>SUM(B10:B12)</f>
        <v>180.53255000000001</v>
      </c>
      <c r="C13" s="253">
        <f t="shared" ref="C13:K13" si="1">SUM(C10:C12)</f>
        <v>204.29403750000003</v>
      </c>
      <c r="D13" s="253">
        <f t="shared" si="1"/>
        <v>230.14733737499998</v>
      </c>
      <c r="E13" s="253">
        <f t="shared" si="1"/>
        <v>257.89839724375008</v>
      </c>
      <c r="F13" s="253">
        <f t="shared" si="1"/>
        <v>287.9758371059375</v>
      </c>
      <c r="G13" s="253">
        <f t="shared" si="1"/>
        <v>319.9757679612344</v>
      </c>
      <c r="H13" s="253">
        <f t="shared" si="1"/>
        <v>354.21543085929613</v>
      </c>
      <c r="I13" s="253">
        <f t="shared" si="1"/>
        <v>390.24051640226099</v>
      </c>
      <c r="J13" s="253">
        <f t="shared" si="1"/>
        <v>429.13607472237391</v>
      </c>
      <c r="K13" s="253">
        <f t="shared" si="1"/>
        <v>470.47232595849272</v>
      </c>
    </row>
    <row r="14" spans="1:11" x14ac:dyDescent="0.25">
      <c r="A14" s="254" t="s">
        <v>573</v>
      </c>
      <c r="B14" s="255">
        <f>B8-B13</f>
        <v>42.266249999999985</v>
      </c>
      <c r="C14" s="255">
        <f>C8-C13</f>
        <v>52.108812499999914</v>
      </c>
      <c r="D14" s="255">
        <f>D8-D13</f>
        <v>63.527892625000078</v>
      </c>
      <c r="E14" s="255">
        <f>E8-E13</f>
        <v>76.009662756249895</v>
      </c>
      <c r="F14" s="255">
        <f>F8-F13</f>
        <v>89.621732894062518</v>
      </c>
      <c r="G14" s="255">
        <f t="shared" ref="G14:K14" si="2">G8-G13</f>
        <v>104.64051203876568</v>
      </c>
      <c r="H14" s="255">
        <f t="shared" si="2"/>
        <v>119.51451914070395</v>
      </c>
      <c r="I14" s="255">
        <f t="shared" si="2"/>
        <v>136.44772359773918</v>
      </c>
      <c r="J14" s="255">
        <f t="shared" si="2"/>
        <v>154.7315852776261</v>
      </c>
      <c r="K14" s="255">
        <f t="shared" si="2"/>
        <v>189.66250404150747</v>
      </c>
    </row>
    <row r="15" spans="1:11" x14ac:dyDescent="0.25">
      <c r="A15" s="256"/>
      <c r="B15" s="257"/>
      <c r="C15" s="257"/>
      <c r="D15" s="257"/>
      <c r="E15" s="257"/>
      <c r="F15" s="257"/>
      <c r="G15" s="257"/>
      <c r="H15" s="257"/>
      <c r="I15" s="257"/>
      <c r="J15" s="257"/>
      <c r="K15" s="257"/>
    </row>
    <row r="16" spans="1:11" x14ac:dyDescent="0.25">
      <c r="A16" s="250" t="s">
        <v>574</v>
      </c>
      <c r="B16" s="250" t="s">
        <v>564</v>
      </c>
      <c r="C16" s="250" t="s">
        <v>565</v>
      </c>
      <c r="D16" s="250" t="s">
        <v>566</v>
      </c>
      <c r="E16" s="250" t="s">
        <v>567</v>
      </c>
      <c r="F16" s="250" t="s">
        <v>568</v>
      </c>
      <c r="G16" s="250" t="s">
        <v>577</v>
      </c>
      <c r="H16" s="250" t="s">
        <v>578</v>
      </c>
      <c r="I16" s="250" t="s">
        <v>579</v>
      </c>
      <c r="J16" s="250" t="s">
        <v>580</v>
      </c>
      <c r="K16" s="250" t="s">
        <v>581</v>
      </c>
    </row>
    <row r="17" spans="1:11" x14ac:dyDescent="0.25">
      <c r="A17" s="251" t="str">
        <f>+A3</f>
        <v xml:space="preserve">Revenue from Sale </v>
      </c>
      <c r="B17" s="252">
        <f>+'P&amp;L'!B5</f>
        <v>131</v>
      </c>
      <c r="C17" s="252">
        <f>+'P&amp;L'!C5</f>
        <v>156.5025</v>
      </c>
      <c r="D17" s="252">
        <f>+'P&amp;L'!D5</f>
        <v>180.1003</v>
      </c>
      <c r="E17" s="252">
        <f>+'P&amp;L'!E5</f>
        <v>204.6696</v>
      </c>
      <c r="F17" s="252">
        <f>+'P&amp;L'!F5</f>
        <v>231.72569999999999</v>
      </c>
      <c r="G17" s="252">
        <f>+'P&amp;L'!G5</f>
        <v>260.32479999999998</v>
      </c>
      <c r="H17" s="252">
        <f>+'P&amp;L'!H5</f>
        <v>292.03550000000001</v>
      </c>
      <c r="I17" s="252">
        <f>+'P&amp;L'!I5</f>
        <v>325.82140000000004</v>
      </c>
      <c r="J17" s="252">
        <f>+'P&amp;L'!J5</f>
        <v>361.33959999999996</v>
      </c>
      <c r="K17" s="252">
        <f>+'P&amp;L'!K5</f>
        <v>401.57580000000002</v>
      </c>
    </row>
    <row r="18" spans="1:11" x14ac:dyDescent="0.25">
      <c r="A18" s="251" t="str">
        <f>+A4</f>
        <v>Revenue- Service Charges - Rice Milling</v>
      </c>
      <c r="B18" s="252">
        <f>+'P&amp;L'!B6</f>
        <v>49.5</v>
      </c>
      <c r="C18" s="252">
        <f>+'P&amp;L'!C6</f>
        <v>57.172499999999999</v>
      </c>
      <c r="D18" s="252">
        <f>+'P&amp;L'!D6</f>
        <v>65.50200000000001</v>
      </c>
      <c r="E18" s="252">
        <f>+'P&amp;L'!E6</f>
        <v>74.529000000000011</v>
      </c>
      <c r="F18" s="252">
        <f>+'P&amp;L'!F6</f>
        <v>84.294000000000025</v>
      </c>
      <c r="G18" s="252">
        <f>+'P&amp;L'!G6</f>
        <v>94.83750000000002</v>
      </c>
      <c r="H18" s="252">
        <f>+'P&amp;L'!H6</f>
        <v>106.20000000000003</v>
      </c>
      <c r="I18" s="252">
        <f>+'P&amp;L'!I6</f>
        <v>118.49850000000004</v>
      </c>
      <c r="J18" s="252">
        <f>+'P&amp;L'!J6</f>
        <v>131.70600000000005</v>
      </c>
      <c r="K18" s="252">
        <f>+'P&amp;L'!K6</f>
        <v>145.94850000000005</v>
      </c>
    </row>
    <row r="19" spans="1:11" x14ac:dyDescent="0.25">
      <c r="A19" s="251" t="str">
        <f>+A5</f>
        <v>Revenue- warehouse</v>
      </c>
      <c r="B19" s="252">
        <f>+'P&amp;L'!B7</f>
        <v>13.608000000000001</v>
      </c>
      <c r="C19" s="252">
        <f>+'P&amp;L'!C7</f>
        <v>18.899999999999999</v>
      </c>
      <c r="D19" s="252">
        <f>+'P&amp;L'!D7</f>
        <v>21</v>
      </c>
      <c r="E19" s="252">
        <f>+'P&amp;L'!E7</f>
        <v>23.200000000000003</v>
      </c>
      <c r="F19" s="252">
        <f>+'P&amp;L'!F7</f>
        <v>25.500000000000004</v>
      </c>
      <c r="G19" s="252">
        <f>+'P&amp;L'!G7</f>
        <v>27.900000000000006</v>
      </c>
      <c r="H19" s="252">
        <f>+'P&amp;L'!H7</f>
        <v>28.800000000000004</v>
      </c>
      <c r="I19" s="252">
        <f>+'P&amp;L'!I7</f>
        <v>29.700000000000003</v>
      </c>
      <c r="J19" s="252">
        <f>+'P&amp;L'!J7</f>
        <v>30.600000000000005</v>
      </c>
      <c r="K19" s="252">
        <f>+'P&amp;L'!K7</f>
        <v>31.500000000000004</v>
      </c>
    </row>
    <row r="20" spans="1:11" x14ac:dyDescent="0.25">
      <c r="A20" s="251" t="str">
        <f>+A6</f>
        <v>Revenue from Weigh Bridge operation</v>
      </c>
      <c r="B20" s="252">
        <f>+'P&amp;L'!B8</f>
        <v>3.7800000000000002</v>
      </c>
      <c r="C20" s="252">
        <f>+'P&amp;L'!C8</f>
        <v>4.8575999999999997</v>
      </c>
      <c r="D20" s="252">
        <f>+'P&amp;L'!D8</f>
        <v>6.12</v>
      </c>
      <c r="E20" s="252">
        <f>+'P&amp;L'!E8</f>
        <v>7.5815999999999999</v>
      </c>
      <c r="F20" s="252">
        <f>+'P&amp;L'!F8</f>
        <v>9.3631999999999991</v>
      </c>
      <c r="G20" s="252">
        <f>+'P&amp;L'!G8</f>
        <v>11.280000000000001</v>
      </c>
      <c r="H20" s="252">
        <f>+'P&amp;L'!H8</f>
        <v>13.440000000000001</v>
      </c>
      <c r="I20" s="252">
        <f>+'P&amp;L'!I8</f>
        <v>15.857600000000001</v>
      </c>
      <c r="J20" s="252">
        <f>+'P&amp;L'!J8</f>
        <v>18.712800000000001</v>
      </c>
      <c r="K20" s="252">
        <f>+'P&amp;L'!K8</f>
        <v>21.705599999999997</v>
      </c>
    </row>
    <row r="21" spans="1:11" x14ac:dyDescent="0.25">
      <c r="A21" s="251" t="str">
        <f>+A7</f>
        <v>Change in Closing Stock of FG</v>
      </c>
      <c r="B21" s="252">
        <f>+'P&amp;L'!B12-'P&amp;L'!B11</f>
        <v>5.5</v>
      </c>
      <c r="C21" s="252">
        <f>+'P&amp;L'!C12-'P&amp;L'!C11</f>
        <v>1.4300000000000006</v>
      </c>
      <c r="D21" s="252">
        <f>+'P&amp;L'!D12-'P&amp;L'!D11</f>
        <v>0.84289999999999932</v>
      </c>
      <c r="E21" s="252">
        <f>+'P&amp;L'!E12-'P&amp;L'!E11</f>
        <v>1.1409000000000002</v>
      </c>
      <c r="F21" s="252">
        <f>+'P&amp;L'!F12-'P&amp;L'!F11</f>
        <v>0.99209999999999887</v>
      </c>
      <c r="G21" s="252">
        <f>+'P&amp;L'!G12-'P&amp;L'!G11</f>
        <v>1.4515000000000029</v>
      </c>
      <c r="H21" s="252">
        <f>+'P&amp;L'!H12-'P&amp;L'!H11</f>
        <v>1.1708999999999978</v>
      </c>
      <c r="I21" s="252">
        <f>+'P&amp;L'!I12-'P&amp;L'!I11</f>
        <v>1.2585999999999995</v>
      </c>
      <c r="J21" s="252">
        <f>+'P&amp;L'!J12-'P&amp;L'!J11</f>
        <v>2.3153000000000006</v>
      </c>
      <c r="K21" s="252">
        <f>+'P&amp;L'!K12-'P&amp;L'!K11</f>
        <v>1.5024999999999977</v>
      </c>
    </row>
    <row r="22" spans="1:11" x14ac:dyDescent="0.25">
      <c r="A22" s="250" t="s">
        <v>569</v>
      </c>
      <c r="B22" s="253">
        <f>SUM(B17:B21)</f>
        <v>203.38800000000001</v>
      </c>
      <c r="C22" s="253">
        <f>SUM(C17:C21)</f>
        <v>238.86260000000001</v>
      </c>
      <c r="D22" s="253">
        <f>SUM(D17:D21)</f>
        <v>273.5652</v>
      </c>
      <c r="E22" s="253">
        <f>SUM(E17:E21)</f>
        <v>311.12109999999996</v>
      </c>
      <c r="F22" s="253">
        <f>SUM(F17:F21)</f>
        <v>351.875</v>
      </c>
      <c r="G22" s="253">
        <f t="shared" ref="G22:K22" si="3">SUM(G17:G21)</f>
        <v>395.79380000000003</v>
      </c>
      <c r="H22" s="253">
        <f t="shared" si="3"/>
        <v>441.64640000000009</v>
      </c>
      <c r="I22" s="253">
        <f t="shared" si="3"/>
        <v>491.13610000000006</v>
      </c>
      <c r="J22" s="253">
        <f t="shared" si="3"/>
        <v>544.67370000000005</v>
      </c>
      <c r="K22" s="253">
        <f t="shared" si="3"/>
        <v>602.2324000000001</v>
      </c>
    </row>
    <row r="23" spans="1:11" x14ac:dyDescent="0.25">
      <c r="A23" s="250" t="s">
        <v>570</v>
      </c>
      <c r="B23" s="252"/>
      <c r="C23" s="252"/>
      <c r="D23" s="252"/>
      <c r="E23" s="252"/>
      <c r="F23" s="252"/>
      <c r="G23" s="252"/>
      <c r="H23" s="252"/>
      <c r="I23" s="252"/>
      <c r="J23" s="252"/>
      <c r="K23" s="252"/>
    </row>
    <row r="24" spans="1:11" x14ac:dyDescent="0.25">
      <c r="A24" s="258" t="s">
        <v>582</v>
      </c>
      <c r="B24" s="252">
        <f>+'P&amp;L'!B21*1.1</f>
        <v>127.60000000000001</v>
      </c>
      <c r="C24" s="252">
        <f>+'P&amp;L'!C21*1.1</f>
        <v>147.11004000000003</v>
      </c>
      <c r="D24" s="252">
        <f>+'P&amp;L'!D21*1.1</f>
        <v>168.51934</v>
      </c>
      <c r="E24" s="252">
        <f>+'P&amp;L'!E21*1.1</f>
        <v>191.69700000000003</v>
      </c>
      <c r="F24" s="252">
        <f>+'P&amp;L'!F21*1.1</f>
        <v>216.74202</v>
      </c>
      <c r="G24" s="252">
        <f>+'P&amp;L'!G21*1.1</f>
        <v>243.83271000000002</v>
      </c>
      <c r="H24" s="252">
        <f>+'P&amp;L'!H21*1.1</f>
        <v>273.08731999999998</v>
      </c>
      <c r="I24" s="252">
        <f>+'P&amp;L'!I21*1.1</f>
        <v>304.62135000000006</v>
      </c>
      <c r="J24" s="252">
        <f>+'P&amp;L'!J21*1.1</f>
        <v>338.64544999999998</v>
      </c>
      <c r="K24" s="252">
        <f>+'P&amp;L'!K21*1.1</f>
        <v>375.27622000000008</v>
      </c>
    </row>
    <row r="25" spans="1:11" x14ac:dyDescent="0.25">
      <c r="A25" s="251" t="s">
        <v>571</v>
      </c>
      <c r="B25" s="252">
        <f>+'P&amp;L'!B23*1.1</f>
        <v>31.190004999999999</v>
      </c>
      <c r="C25" s="252">
        <f>+'P&amp;L'!C23*1.1</f>
        <v>32.768997249999998</v>
      </c>
      <c r="D25" s="252">
        <f>+'P&amp;L'!D23*1.1</f>
        <v>34.427797112500002</v>
      </c>
      <c r="E25" s="252">
        <f>+'P&amp;L'!E23*1.1</f>
        <v>36.166236968125013</v>
      </c>
      <c r="F25" s="252">
        <f>+'P&amp;L'!F23*1.1</f>
        <v>37.988298816531263</v>
      </c>
      <c r="G25" s="252">
        <f>+'P&amp;L'!G23*1.1</f>
        <v>39.898163757357828</v>
      </c>
      <c r="H25" s="252">
        <f>+'P&amp;L'!H23*1.1</f>
        <v>41.900221945225724</v>
      </c>
      <c r="I25" s="252">
        <f>+'P&amp;L'!I23*1.1</f>
        <v>43.999083042487008</v>
      </c>
      <c r="J25" s="252">
        <f>+'P&amp;L'!J23*1.1</f>
        <v>46.199587194611361</v>
      </c>
      <c r="K25" s="252">
        <f>+'P&amp;L'!K23*1.1</f>
        <v>48.506816554341931</v>
      </c>
    </row>
    <row r="26" spans="1:11" x14ac:dyDescent="0.25">
      <c r="A26" s="251" t="s">
        <v>337</v>
      </c>
      <c r="B26" s="252">
        <f>+'P&amp;L'!B25*1.1</f>
        <v>27.035800000000002</v>
      </c>
      <c r="C26" s="252">
        <f>+'P&amp;L'!C25*1.1</f>
        <v>30.133400000000005</v>
      </c>
      <c r="D26" s="252">
        <f>+'P&amp;L'!D25*1.1</f>
        <v>33.363</v>
      </c>
      <c r="E26" s="252">
        <f>+'P&amp;L'!E25*1.1</f>
        <v>36.655300000000011</v>
      </c>
      <c r="F26" s="252">
        <f>+'P&amp;L'!F25*1.1</f>
        <v>40.368900000000018</v>
      </c>
      <c r="G26" s="252">
        <f>+'P&amp;L'!G25*1.1</f>
        <v>43.859200000000001</v>
      </c>
      <c r="H26" s="252">
        <f>+'P&amp;L'!H25*1.1</f>
        <v>47.340700000000012</v>
      </c>
      <c r="I26" s="252">
        <f>+'P&amp;L'!I25*1.1</f>
        <v>50.182000000000016</v>
      </c>
      <c r="J26" s="252">
        <f>+'P&amp;L'!J25*1.1</f>
        <v>53.340100000000014</v>
      </c>
      <c r="K26" s="252">
        <f>+'P&amp;L'!K25*1.1</f>
        <v>56.208900000000007</v>
      </c>
    </row>
    <row r="27" spans="1:11" x14ac:dyDescent="0.25">
      <c r="A27" s="250" t="s">
        <v>572</v>
      </c>
      <c r="B27" s="253">
        <f>SUM(B24:B26)</f>
        <v>185.825805</v>
      </c>
      <c r="C27" s="253">
        <f t="shared" ref="C27:K27" si="4">SUM(C24:C26)</f>
        <v>210.01243725</v>
      </c>
      <c r="D27" s="253">
        <f t="shared" si="4"/>
        <v>236.3101371125</v>
      </c>
      <c r="E27" s="253">
        <f t="shared" si="4"/>
        <v>264.51853696812509</v>
      </c>
      <c r="F27" s="253">
        <f t="shared" si="4"/>
        <v>295.09921881653128</v>
      </c>
      <c r="G27" s="253">
        <f t="shared" si="4"/>
        <v>327.59007375735786</v>
      </c>
      <c r="H27" s="253">
        <f t="shared" si="4"/>
        <v>362.32824194522573</v>
      </c>
      <c r="I27" s="253">
        <f t="shared" si="4"/>
        <v>398.80243304248711</v>
      </c>
      <c r="J27" s="253">
        <f t="shared" si="4"/>
        <v>438.18513719461134</v>
      </c>
      <c r="K27" s="253">
        <f t="shared" si="4"/>
        <v>479.99193655434203</v>
      </c>
    </row>
    <row r="28" spans="1:11" x14ac:dyDescent="0.25">
      <c r="A28" s="254" t="s">
        <v>573</v>
      </c>
      <c r="B28" s="255">
        <f>B22-B27</f>
        <v>17.562195000000003</v>
      </c>
      <c r="C28" s="255">
        <f>C22-C27</f>
        <v>28.85016275000001</v>
      </c>
      <c r="D28" s="255">
        <f>D22-D27</f>
        <v>37.255062887500003</v>
      </c>
      <c r="E28" s="255">
        <f>E22-E27</f>
        <v>46.602563031874865</v>
      </c>
      <c r="F28" s="255">
        <f>F22-F27</f>
        <v>56.775781183468723</v>
      </c>
      <c r="G28" s="255">
        <f t="shared" ref="G28:K28" si="5">G22-G27</f>
        <v>68.203726242642176</v>
      </c>
      <c r="H28" s="255">
        <f t="shared" si="5"/>
        <v>79.318158054774358</v>
      </c>
      <c r="I28" s="255">
        <f t="shared" si="5"/>
        <v>92.333666957512946</v>
      </c>
      <c r="J28" s="255">
        <f t="shared" si="5"/>
        <v>106.48856280538871</v>
      </c>
      <c r="K28" s="255">
        <f t="shared" si="5"/>
        <v>122.24046344565807</v>
      </c>
    </row>
    <row r="29" spans="1:11" x14ac:dyDescent="0.25">
      <c r="A29" s="256"/>
      <c r="B29" s="257"/>
      <c r="C29" s="257"/>
      <c r="D29" s="257"/>
      <c r="E29" s="257"/>
      <c r="F29" s="257"/>
      <c r="G29" s="257"/>
      <c r="H29" s="257"/>
      <c r="I29" s="257"/>
      <c r="J29" s="257"/>
      <c r="K29" s="257"/>
    </row>
    <row r="30" spans="1:11" x14ac:dyDescent="0.25">
      <c r="A30" s="250" t="s">
        <v>575</v>
      </c>
      <c r="B30" s="250" t="s">
        <v>564</v>
      </c>
      <c r="C30" s="250" t="s">
        <v>565</v>
      </c>
      <c r="D30" s="250" t="s">
        <v>566</v>
      </c>
      <c r="E30" s="250" t="s">
        <v>567</v>
      </c>
      <c r="F30" s="250" t="s">
        <v>568</v>
      </c>
      <c r="G30" s="250" t="s">
        <v>577</v>
      </c>
      <c r="H30" s="250" t="s">
        <v>578</v>
      </c>
      <c r="I30" s="250" t="s">
        <v>579</v>
      </c>
      <c r="J30" s="250" t="s">
        <v>580</v>
      </c>
      <c r="K30" s="250" t="s">
        <v>581</v>
      </c>
    </row>
    <row r="31" spans="1:11" x14ac:dyDescent="0.25">
      <c r="A31" s="251" t="str">
        <f>+A17</f>
        <v xml:space="preserve">Revenue from Sale </v>
      </c>
      <c r="B31" s="252">
        <f>+'P&amp;L'!B5*0.9</f>
        <v>117.9</v>
      </c>
      <c r="C31" s="252">
        <f>+'P&amp;L'!C5*0.9</f>
        <v>140.85225</v>
      </c>
      <c r="D31" s="252">
        <f>+'P&amp;L'!D5*0.9</f>
        <v>162.09027</v>
      </c>
      <c r="E31" s="252">
        <f>+'P&amp;L'!E5*0.9</f>
        <v>184.20264</v>
      </c>
      <c r="F31" s="252">
        <f>+'P&amp;L'!F5*0.9</f>
        <v>208.55312999999998</v>
      </c>
      <c r="G31" s="252">
        <f>+'P&amp;L'!G5*0.9</f>
        <v>234.29231999999999</v>
      </c>
      <c r="H31" s="252">
        <f>+'P&amp;L'!H5*0.9</f>
        <v>262.83195000000001</v>
      </c>
      <c r="I31" s="252">
        <f>+'P&amp;L'!I5*0.9</f>
        <v>293.23926000000006</v>
      </c>
      <c r="J31" s="252">
        <f>+'P&amp;L'!J5*0.9</f>
        <v>325.20563999999996</v>
      </c>
      <c r="K31" s="252">
        <f>+'P&amp;L'!K5*0.9</f>
        <v>361.41822000000002</v>
      </c>
    </row>
    <row r="32" spans="1:11" x14ac:dyDescent="0.25">
      <c r="A32" s="251" t="str">
        <f>+A18</f>
        <v>Revenue- Service Charges - Rice Milling</v>
      </c>
      <c r="B32" s="252">
        <f>+'P&amp;L'!B6*0.9</f>
        <v>44.550000000000004</v>
      </c>
      <c r="C32" s="252">
        <f>+'P&amp;L'!C6*0.9</f>
        <v>51.455249999999999</v>
      </c>
      <c r="D32" s="252">
        <f>+'P&amp;L'!D6*0.9</f>
        <v>58.951800000000013</v>
      </c>
      <c r="E32" s="252">
        <f>+'P&amp;L'!E6*0.9</f>
        <v>67.076100000000011</v>
      </c>
      <c r="F32" s="252">
        <f>+'P&amp;L'!F6*0.9</f>
        <v>75.864600000000024</v>
      </c>
      <c r="G32" s="252">
        <f>+'P&amp;L'!G6*0.9</f>
        <v>85.353750000000019</v>
      </c>
      <c r="H32" s="252">
        <f>+'P&amp;L'!H6*0.9</f>
        <v>95.580000000000027</v>
      </c>
      <c r="I32" s="252">
        <f>+'P&amp;L'!I6*0.9</f>
        <v>106.64865000000003</v>
      </c>
      <c r="J32" s="252">
        <f>+'P&amp;L'!J6*0.9</f>
        <v>118.53540000000004</v>
      </c>
      <c r="K32" s="252">
        <f>+'P&amp;L'!K6*0.9</f>
        <v>131.35365000000004</v>
      </c>
    </row>
    <row r="33" spans="1:11" x14ac:dyDescent="0.25">
      <c r="A33" s="251" t="str">
        <f>+A19</f>
        <v>Revenue- warehouse</v>
      </c>
      <c r="B33" s="252">
        <f>+'P&amp;L'!B7*0.9</f>
        <v>12.247200000000001</v>
      </c>
      <c r="C33" s="252">
        <f>+'P&amp;L'!C7*0.9</f>
        <v>17.009999999999998</v>
      </c>
      <c r="D33" s="252">
        <f>+'P&amp;L'!D7*0.9</f>
        <v>18.900000000000002</v>
      </c>
      <c r="E33" s="252">
        <f>+'P&amp;L'!E7*0.9</f>
        <v>20.880000000000003</v>
      </c>
      <c r="F33" s="252">
        <f>+'P&amp;L'!F7*0.9</f>
        <v>22.950000000000003</v>
      </c>
      <c r="G33" s="252">
        <f>+'P&amp;L'!G7*0.9</f>
        <v>25.110000000000007</v>
      </c>
      <c r="H33" s="252">
        <f>+'P&amp;L'!H7*0.9</f>
        <v>25.920000000000005</v>
      </c>
      <c r="I33" s="252">
        <f>+'P&amp;L'!I7*0.9</f>
        <v>26.730000000000004</v>
      </c>
      <c r="J33" s="252">
        <f>+'P&amp;L'!J7*0.9</f>
        <v>27.540000000000006</v>
      </c>
      <c r="K33" s="252">
        <f>+'P&amp;L'!K7*0.9</f>
        <v>28.350000000000005</v>
      </c>
    </row>
    <row r="34" spans="1:11" x14ac:dyDescent="0.25">
      <c r="A34" s="251" t="str">
        <f>+A20</f>
        <v>Revenue from Weigh Bridge operation</v>
      </c>
      <c r="B34" s="252">
        <f>+'P&amp;L'!B8</f>
        <v>3.7800000000000002</v>
      </c>
      <c r="C34" s="252">
        <f>+'P&amp;L'!C8</f>
        <v>4.8575999999999997</v>
      </c>
      <c r="D34" s="252">
        <f>+'P&amp;L'!D8</f>
        <v>6.12</v>
      </c>
      <c r="E34" s="252">
        <f>+'P&amp;L'!E8</f>
        <v>7.5815999999999999</v>
      </c>
      <c r="F34" s="252">
        <f>+'P&amp;L'!F8</f>
        <v>9.3631999999999991</v>
      </c>
      <c r="G34" s="252">
        <f>+'P&amp;L'!G8</f>
        <v>11.280000000000001</v>
      </c>
      <c r="H34" s="252">
        <f>+'P&amp;L'!H8</f>
        <v>13.440000000000001</v>
      </c>
      <c r="I34" s="252">
        <f>+'P&amp;L'!I8</f>
        <v>15.857600000000001</v>
      </c>
      <c r="J34" s="252">
        <f>+'P&amp;L'!J8</f>
        <v>18.712800000000001</v>
      </c>
      <c r="K34" s="252">
        <f>+'P&amp;L'!K8</f>
        <v>21.705599999999997</v>
      </c>
    </row>
    <row r="35" spans="1:11" x14ac:dyDescent="0.25">
      <c r="A35" s="251" t="str">
        <f>+A21</f>
        <v>Change in Closing Stock of FG</v>
      </c>
      <c r="B35" s="252">
        <f>+'P&amp;L'!B12-'P&amp;L'!B11</f>
        <v>5.5</v>
      </c>
      <c r="C35" s="252">
        <f>+'P&amp;L'!C12-'P&amp;L'!C11</f>
        <v>1.4300000000000006</v>
      </c>
      <c r="D35" s="252">
        <f>+'P&amp;L'!D12-'P&amp;L'!D11</f>
        <v>0.84289999999999932</v>
      </c>
      <c r="E35" s="252">
        <f>+'P&amp;L'!E12-'P&amp;L'!E11</f>
        <v>1.1409000000000002</v>
      </c>
      <c r="F35" s="252">
        <f>+'P&amp;L'!F12-'P&amp;L'!F11</f>
        <v>0.99209999999999887</v>
      </c>
      <c r="G35" s="252">
        <f>+'P&amp;L'!G12-'P&amp;L'!G11</f>
        <v>1.4515000000000029</v>
      </c>
      <c r="H35" s="252">
        <f>+'P&amp;L'!H12-'P&amp;L'!H11</f>
        <v>1.1708999999999978</v>
      </c>
      <c r="I35" s="252">
        <f>+'P&amp;L'!I12-'P&amp;L'!I11</f>
        <v>1.2585999999999995</v>
      </c>
      <c r="J35" s="252">
        <f>+'P&amp;L'!J12-'P&amp;L'!J11</f>
        <v>2.3153000000000006</v>
      </c>
      <c r="K35" s="252">
        <f>+'P&amp;L'!K12-'P&amp;L'!K11</f>
        <v>1.5024999999999977</v>
      </c>
    </row>
    <row r="36" spans="1:11" x14ac:dyDescent="0.25">
      <c r="A36" s="250" t="s">
        <v>569</v>
      </c>
      <c r="B36" s="253">
        <f>SUM(B31:B35)</f>
        <v>183.97720000000001</v>
      </c>
      <c r="C36" s="253">
        <f>SUM(C31:C35)</f>
        <v>215.60509999999999</v>
      </c>
      <c r="D36" s="253">
        <f>SUM(D31:D35)</f>
        <v>246.90497000000002</v>
      </c>
      <c r="E36" s="253">
        <f>SUM(E31:E35)</f>
        <v>280.88123999999999</v>
      </c>
      <c r="F36" s="253">
        <f>SUM(F31:F35)</f>
        <v>317.72302999999999</v>
      </c>
      <c r="G36" s="253">
        <f t="shared" ref="G36:K36" si="6">SUM(G31:G35)</f>
        <v>357.48757000000001</v>
      </c>
      <c r="H36" s="253">
        <f t="shared" si="6"/>
        <v>398.94285000000008</v>
      </c>
      <c r="I36" s="253">
        <f t="shared" si="6"/>
        <v>443.7341100000001</v>
      </c>
      <c r="J36" s="253">
        <f t="shared" si="6"/>
        <v>492.30914000000001</v>
      </c>
      <c r="K36" s="253">
        <f t="shared" si="6"/>
        <v>544.32997</v>
      </c>
    </row>
    <row r="37" spans="1:11" x14ac:dyDescent="0.25">
      <c r="A37" s="250" t="s">
        <v>570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52"/>
    </row>
    <row r="38" spans="1:11" x14ac:dyDescent="0.25">
      <c r="A38" s="258" t="s">
        <v>582</v>
      </c>
      <c r="B38" s="252">
        <f>+'P&amp;L'!B21*0.9</f>
        <v>104.4</v>
      </c>
      <c r="C38" s="252">
        <f>+'P&amp;L'!C21*0.9</f>
        <v>120.36276000000001</v>
      </c>
      <c r="D38" s="252">
        <f>+'P&amp;L'!D21*0.9</f>
        <v>137.87945999999999</v>
      </c>
      <c r="E38" s="252">
        <f>+'P&amp;L'!E21*0.9</f>
        <v>156.84300000000002</v>
      </c>
      <c r="F38" s="252">
        <f>+'P&amp;L'!F21*0.9</f>
        <v>177.33437999999998</v>
      </c>
      <c r="G38" s="252">
        <f>+'P&amp;L'!G21*0.9</f>
        <v>199.49949000000001</v>
      </c>
      <c r="H38" s="252">
        <f>+'P&amp;L'!H21*0.9</f>
        <v>223.43507999999997</v>
      </c>
      <c r="I38" s="252">
        <f>+'P&amp;L'!I21*0.9</f>
        <v>249.23565000000005</v>
      </c>
      <c r="J38" s="252">
        <f>+'P&amp;L'!J21*0.9</f>
        <v>277.07354999999995</v>
      </c>
      <c r="K38" s="252">
        <f>+'P&amp;L'!K21*0.9</f>
        <v>307.04418000000004</v>
      </c>
    </row>
    <row r="39" spans="1:11" x14ac:dyDescent="0.25">
      <c r="A39" s="251" t="s">
        <v>571</v>
      </c>
      <c r="B39" s="252">
        <f>+'P&amp;L'!B23</f>
        <v>28.354549999999996</v>
      </c>
      <c r="C39" s="252">
        <f>+'P&amp;L'!C23</f>
        <v>29.789997499999998</v>
      </c>
      <c r="D39" s="252">
        <f>+'P&amp;L'!D23</f>
        <v>31.297997375000001</v>
      </c>
      <c r="E39" s="252">
        <f>+'P&amp;L'!E23</f>
        <v>32.878397243750008</v>
      </c>
      <c r="F39" s="252">
        <f>+'P&amp;L'!F23</f>
        <v>34.534817105937506</v>
      </c>
      <c r="G39" s="252">
        <f>+'P&amp;L'!G23</f>
        <v>36.271057961234384</v>
      </c>
      <c r="H39" s="252">
        <f>+'P&amp;L'!H23</f>
        <v>38.091110859296109</v>
      </c>
      <c r="I39" s="252">
        <f>+'P&amp;L'!I23</f>
        <v>39.999166402260911</v>
      </c>
      <c r="J39" s="252">
        <f>+'P&amp;L'!J23</f>
        <v>41.999624722373959</v>
      </c>
      <c r="K39" s="252">
        <f>+'P&amp;L'!K23</f>
        <v>44.097105958492662</v>
      </c>
    </row>
    <row r="40" spans="1:11" x14ac:dyDescent="0.25">
      <c r="A40" s="251" t="s">
        <v>337</v>
      </c>
      <c r="B40" s="252">
        <f>+'P&amp;L'!B25</f>
        <v>24.577999999999999</v>
      </c>
      <c r="C40" s="252">
        <f>+'P&amp;L'!C25</f>
        <v>27.394000000000002</v>
      </c>
      <c r="D40" s="252">
        <f>+'P&amp;L'!D25</f>
        <v>30.329999999999995</v>
      </c>
      <c r="E40" s="252">
        <f>+'P&amp;L'!E25</f>
        <v>33.323000000000008</v>
      </c>
      <c r="F40" s="252">
        <f>+'P&amp;L'!F25</f>
        <v>36.699000000000012</v>
      </c>
      <c r="G40" s="252">
        <f>+'P&amp;L'!G25</f>
        <v>39.872</v>
      </c>
      <c r="H40" s="252">
        <f>+'P&amp;L'!H25</f>
        <v>43.037000000000006</v>
      </c>
      <c r="I40" s="252">
        <f>+'P&amp;L'!I25</f>
        <v>45.620000000000012</v>
      </c>
      <c r="J40" s="252">
        <f>+'P&amp;L'!J25</f>
        <v>48.491000000000007</v>
      </c>
      <c r="K40" s="252">
        <f>+'P&amp;L'!K25</f>
        <v>51.099000000000004</v>
      </c>
    </row>
    <row r="41" spans="1:11" x14ac:dyDescent="0.25">
      <c r="A41" s="250" t="s">
        <v>572</v>
      </c>
      <c r="B41" s="253">
        <f>SUM(B38:B40)</f>
        <v>157.33255</v>
      </c>
      <c r="C41" s="253">
        <f t="shared" ref="C41:K41" si="7">SUM(C38:C40)</f>
        <v>177.54675750000001</v>
      </c>
      <c r="D41" s="253">
        <f t="shared" si="7"/>
        <v>199.50745737499997</v>
      </c>
      <c r="E41" s="253">
        <f t="shared" si="7"/>
        <v>223.04439724375004</v>
      </c>
      <c r="F41" s="253">
        <f t="shared" si="7"/>
        <v>248.56819710593749</v>
      </c>
      <c r="G41" s="253">
        <f t="shared" si="7"/>
        <v>275.64254796123441</v>
      </c>
      <c r="H41" s="253">
        <f t="shared" si="7"/>
        <v>304.56319085929613</v>
      </c>
      <c r="I41" s="253">
        <f t="shared" si="7"/>
        <v>334.85481640226095</v>
      </c>
      <c r="J41" s="253">
        <f t="shared" si="7"/>
        <v>367.56417472237388</v>
      </c>
      <c r="K41" s="253">
        <f t="shared" si="7"/>
        <v>402.24028595849268</v>
      </c>
    </row>
    <row r="42" spans="1:11" x14ac:dyDescent="0.25">
      <c r="A42" s="254" t="s">
        <v>573</v>
      </c>
      <c r="B42" s="255">
        <f>B36-B41</f>
        <v>26.644650000000013</v>
      </c>
      <c r="C42" s="255">
        <f>C36-C41</f>
        <v>38.058342499999981</v>
      </c>
      <c r="D42" s="255">
        <f>D36-D41</f>
        <v>47.397512625000047</v>
      </c>
      <c r="E42" s="255">
        <f>E36-E41</f>
        <v>57.836842756249951</v>
      </c>
      <c r="F42" s="255">
        <f>F36-F41</f>
        <v>69.154832894062508</v>
      </c>
      <c r="G42" s="255">
        <f t="shared" ref="G42:K42" si="8">G36-G41</f>
        <v>81.845022038765592</v>
      </c>
      <c r="H42" s="255">
        <f t="shared" si="8"/>
        <v>94.37965914070395</v>
      </c>
      <c r="I42" s="255">
        <f t="shared" si="8"/>
        <v>108.87929359773915</v>
      </c>
      <c r="J42" s="255">
        <f t="shared" si="8"/>
        <v>124.74496527762614</v>
      </c>
      <c r="K42" s="255">
        <f t="shared" si="8"/>
        <v>142.08968404150733</v>
      </c>
    </row>
    <row r="43" spans="1:11" x14ac:dyDescent="0.25">
      <c r="A43" s="256"/>
      <c r="B43" s="257"/>
      <c r="C43" s="257"/>
      <c r="D43" s="257"/>
      <c r="E43" s="257"/>
      <c r="F43" s="257"/>
      <c r="G43" s="257"/>
      <c r="H43" s="257"/>
      <c r="I43" s="257"/>
      <c r="J43" s="257"/>
      <c r="K43" s="257"/>
    </row>
    <row r="44" spans="1:11" x14ac:dyDescent="0.25">
      <c r="A44" s="250" t="s">
        <v>576</v>
      </c>
      <c r="B44" s="250" t="s">
        <v>564</v>
      </c>
      <c r="C44" s="250" t="s">
        <v>565</v>
      </c>
      <c r="D44" s="250" t="s">
        <v>566</v>
      </c>
      <c r="E44" s="250" t="s">
        <v>567</v>
      </c>
      <c r="F44" s="250" t="s">
        <v>568</v>
      </c>
      <c r="G44" s="250" t="s">
        <v>577</v>
      </c>
      <c r="H44" s="250" t="s">
        <v>578</v>
      </c>
      <c r="I44" s="250" t="s">
        <v>579</v>
      </c>
      <c r="J44" s="250" t="s">
        <v>580</v>
      </c>
      <c r="K44" s="250" t="s">
        <v>581</v>
      </c>
    </row>
    <row r="45" spans="1:11" x14ac:dyDescent="0.25">
      <c r="A45" s="251" t="str">
        <f>+A31</f>
        <v xml:space="preserve">Revenue from Sale </v>
      </c>
      <c r="B45" s="252">
        <f>+'P&amp;L'!B5</f>
        <v>131</v>
      </c>
      <c r="C45" s="252">
        <f>+'P&amp;L'!C5</f>
        <v>156.5025</v>
      </c>
      <c r="D45" s="252">
        <f>+'P&amp;L'!D5</f>
        <v>180.1003</v>
      </c>
      <c r="E45" s="252">
        <f>+'P&amp;L'!E5</f>
        <v>204.6696</v>
      </c>
      <c r="F45" s="252">
        <f>+'P&amp;L'!F5</f>
        <v>231.72569999999999</v>
      </c>
      <c r="G45" s="252">
        <f>+'P&amp;L'!G5</f>
        <v>260.32479999999998</v>
      </c>
      <c r="H45" s="252">
        <f>+'P&amp;L'!H5</f>
        <v>292.03550000000001</v>
      </c>
      <c r="I45" s="252">
        <f>+'P&amp;L'!I5</f>
        <v>325.82140000000004</v>
      </c>
      <c r="J45" s="252">
        <f>+'P&amp;L'!J5</f>
        <v>361.33959999999996</v>
      </c>
      <c r="K45" s="252">
        <f>+'P&amp;L'!K5</f>
        <v>401.57580000000002</v>
      </c>
    </row>
    <row r="46" spans="1:11" x14ac:dyDescent="0.25">
      <c r="A46" s="251" t="str">
        <f>+A32</f>
        <v>Revenue- Service Charges - Rice Milling</v>
      </c>
      <c r="B46" s="252">
        <f>+'P&amp;L'!B6</f>
        <v>49.5</v>
      </c>
      <c r="C46" s="252">
        <f>+'P&amp;L'!C6</f>
        <v>57.172499999999999</v>
      </c>
      <c r="D46" s="252">
        <f>+'P&amp;L'!D6</f>
        <v>65.50200000000001</v>
      </c>
      <c r="E46" s="252">
        <f>+'P&amp;L'!E6</f>
        <v>74.529000000000011</v>
      </c>
      <c r="F46" s="252">
        <f>+'P&amp;L'!F6</f>
        <v>84.294000000000025</v>
      </c>
      <c r="G46" s="252">
        <f>+'P&amp;L'!G6</f>
        <v>94.83750000000002</v>
      </c>
      <c r="H46" s="252">
        <f>+'P&amp;L'!H6</f>
        <v>106.20000000000003</v>
      </c>
      <c r="I46" s="252">
        <f>+'P&amp;L'!I6</f>
        <v>118.49850000000004</v>
      </c>
      <c r="J46" s="252">
        <f>+'P&amp;L'!J6</f>
        <v>131.70600000000005</v>
      </c>
      <c r="K46" s="252">
        <f>+'P&amp;L'!K6</f>
        <v>145.94850000000005</v>
      </c>
    </row>
    <row r="47" spans="1:11" x14ac:dyDescent="0.25">
      <c r="A47" s="251" t="str">
        <f>+A33</f>
        <v>Revenue- warehouse</v>
      </c>
      <c r="B47" s="252">
        <f>+'P&amp;L'!B7</f>
        <v>13.608000000000001</v>
      </c>
      <c r="C47" s="252">
        <f>+'P&amp;L'!C7</f>
        <v>18.899999999999999</v>
      </c>
      <c r="D47" s="252">
        <f>+'P&amp;L'!D7</f>
        <v>21</v>
      </c>
      <c r="E47" s="252">
        <f>+'P&amp;L'!E7</f>
        <v>23.200000000000003</v>
      </c>
      <c r="F47" s="252">
        <f>+'P&amp;L'!F7</f>
        <v>25.500000000000004</v>
      </c>
      <c r="G47" s="252">
        <f>+'P&amp;L'!G7</f>
        <v>27.900000000000006</v>
      </c>
      <c r="H47" s="252">
        <f>+'P&amp;L'!H7</f>
        <v>28.800000000000004</v>
      </c>
      <c r="I47" s="252">
        <f>+'P&amp;L'!I7</f>
        <v>29.700000000000003</v>
      </c>
      <c r="J47" s="252">
        <f>+'P&amp;L'!J7</f>
        <v>30.600000000000005</v>
      </c>
      <c r="K47" s="252">
        <f>+'P&amp;L'!K7</f>
        <v>31.500000000000004</v>
      </c>
    </row>
    <row r="48" spans="1:11" x14ac:dyDescent="0.25">
      <c r="A48" s="251" t="str">
        <f>+A34</f>
        <v>Revenue from Weigh Bridge operation</v>
      </c>
      <c r="B48" s="252">
        <f>+'P&amp;L'!B8</f>
        <v>3.7800000000000002</v>
      </c>
      <c r="C48" s="252">
        <f>+'P&amp;L'!C8</f>
        <v>4.8575999999999997</v>
      </c>
      <c r="D48" s="252">
        <f>+'P&amp;L'!D8</f>
        <v>6.12</v>
      </c>
      <c r="E48" s="252">
        <f>+'P&amp;L'!E8</f>
        <v>7.5815999999999999</v>
      </c>
      <c r="F48" s="252">
        <f>+'P&amp;L'!F8</f>
        <v>9.3631999999999991</v>
      </c>
      <c r="G48" s="252">
        <f>+'P&amp;L'!G8</f>
        <v>11.280000000000001</v>
      </c>
      <c r="H48" s="252">
        <f>+'P&amp;L'!H8</f>
        <v>13.440000000000001</v>
      </c>
      <c r="I48" s="252">
        <f>+'P&amp;L'!I8</f>
        <v>15.857600000000001</v>
      </c>
      <c r="J48" s="252">
        <f>+'P&amp;L'!J8</f>
        <v>18.712800000000001</v>
      </c>
      <c r="K48" s="252">
        <f>+'P&amp;L'!K8</f>
        <v>21.705599999999997</v>
      </c>
    </row>
    <row r="49" spans="1:11" x14ac:dyDescent="0.25">
      <c r="A49" s="251" t="str">
        <f>+A35</f>
        <v>Change in Closing Stock of FG</v>
      </c>
      <c r="B49" s="252">
        <f>+'P&amp;L'!B12-'P&amp;L'!B11</f>
        <v>5.5</v>
      </c>
      <c r="C49" s="252">
        <f>+'P&amp;L'!C12-'P&amp;L'!C11</f>
        <v>1.4300000000000006</v>
      </c>
      <c r="D49" s="252">
        <f>+'P&amp;L'!D12-'P&amp;L'!D11</f>
        <v>0.84289999999999932</v>
      </c>
      <c r="E49" s="252">
        <f>+'P&amp;L'!E12-'P&amp;L'!E11</f>
        <v>1.1409000000000002</v>
      </c>
      <c r="F49" s="252">
        <f>+'P&amp;L'!F12-'P&amp;L'!F11</f>
        <v>0.99209999999999887</v>
      </c>
      <c r="G49" s="252">
        <f>+'P&amp;L'!G12-'P&amp;L'!G11</f>
        <v>1.4515000000000029</v>
      </c>
      <c r="H49" s="252">
        <f>+'P&amp;L'!H12-'P&amp;L'!H11</f>
        <v>1.1708999999999978</v>
      </c>
      <c r="I49" s="252">
        <f>+'P&amp;L'!I12-'P&amp;L'!I11</f>
        <v>1.2585999999999995</v>
      </c>
      <c r="J49" s="252">
        <f>+'P&amp;L'!J12-'P&amp;L'!J11</f>
        <v>2.3153000000000006</v>
      </c>
      <c r="K49" s="252">
        <f>+'P&amp;L'!K12-'P&amp;L'!K11</f>
        <v>1.5024999999999977</v>
      </c>
    </row>
    <row r="50" spans="1:11" x14ac:dyDescent="0.25">
      <c r="A50" s="250" t="s">
        <v>569</v>
      </c>
      <c r="B50" s="253">
        <f>SUM(B45:B49)</f>
        <v>203.38800000000001</v>
      </c>
      <c r="C50" s="253">
        <f>SUM(C45:C49)</f>
        <v>238.86260000000001</v>
      </c>
      <c r="D50" s="253">
        <f>SUM(D45:D49)</f>
        <v>273.5652</v>
      </c>
      <c r="E50" s="253">
        <f>SUM(E45:E49)</f>
        <v>311.12109999999996</v>
      </c>
      <c r="F50" s="253">
        <f>SUM(F45:F49)</f>
        <v>351.875</v>
      </c>
      <c r="G50" s="253">
        <f t="shared" ref="G50:K50" si="9">SUM(G45:G49)</f>
        <v>395.79380000000003</v>
      </c>
      <c r="H50" s="253">
        <f t="shared" si="9"/>
        <v>441.64640000000009</v>
      </c>
      <c r="I50" s="253">
        <f t="shared" si="9"/>
        <v>491.13610000000006</v>
      </c>
      <c r="J50" s="253">
        <f t="shared" si="9"/>
        <v>544.67370000000005</v>
      </c>
      <c r="K50" s="253">
        <f t="shared" si="9"/>
        <v>602.2324000000001</v>
      </c>
    </row>
    <row r="51" spans="1:11" x14ac:dyDescent="0.25">
      <c r="A51" s="250" t="s">
        <v>570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x14ac:dyDescent="0.25">
      <c r="A52" s="258" t="s">
        <v>582</v>
      </c>
      <c r="B52" s="252">
        <f>+'P&amp;L'!B21*0.9</f>
        <v>104.4</v>
      </c>
      <c r="C52" s="252">
        <f>+'P&amp;L'!C21*0.9</f>
        <v>120.36276000000001</v>
      </c>
      <c r="D52" s="252">
        <f>+'P&amp;L'!D21*0.9</f>
        <v>137.87945999999999</v>
      </c>
      <c r="E52" s="252">
        <f>+'P&amp;L'!E21*0.9</f>
        <v>156.84300000000002</v>
      </c>
      <c r="F52" s="252">
        <f>+'P&amp;L'!F21*0.9</f>
        <v>177.33437999999998</v>
      </c>
      <c r="G52" s="252">
        <f>+'P&amp;L'!G21*0.9</f>
        <v>199.49949000000001</v>
      </c>
      <c r="H52" s="252">
        <f>+'P&amp;L'!H21*0.9</f>
        <v>223.43507999999997</v>
      </c>
      <c r="I52" s="252">
        <f>+'P&amp;L'!I21*0.9</f>
        <v>249.23565000000005</v>
      </c>
      <c r="J52" s="252">
        <f>+'P&amp;L'!J21*0.9</f>
        <v>277.07354999999995</v>
      </c>
      <c r="K52" s="252">
        <f>+'P&amp;L'!K21*0.9</f>
        <v>307.04418000000004</v>
      </c>
    </row>
    <row r="53" spans="1:11" x14ac:dyDescent="0.25">
      <c r="A53" s="251" t="s">
        <v>571</v>
      </c>
      <c r="B53" s="252">
        <f>+'P&amp;L'!B23*0.9</f>
        <v>25.519094999999997</v>
      </c>
      <c r="C53" s="252">
        <f>+'P&amp;L'!C23*0.9</f>
        <v>26.810997749999999</v>
      </c>
      <c r="D53" s="252">
        <f>+'P&amp;L'!D23*0.9</f>
        <v>28.1681976375</v>
      </c>
      <c r="E53" s="252">
        <f>+'P&amp;L'!E23*0.9</f>
        <v>29.590557519375007</v>
      </c>
      <c r="F53" s="252">
        <f>+'P&amp;L'!F23*0.9</f>
        <v>31.081335395343757</v>
      </c>
      <c r="G53" s="252">
        <f>+'P&amp;L'!G23*0.9</f>
        <v>32.643952165110946</v>
      </c>
      <c r="H53" s="252">
        <f>+'P&amp;L'!H23*0.9</f>
        <v>34.281999773366501</v>
      </c>
      <c r="I53" s="252">
        <f>+'P&amp;L'!I23*0.9</f>
        <v>35.999249762034822</v>
      </c>
      <c r="J53" s="252">
        <f>+'P&amp;L'!J23*0.9</f>
        <v>37.799662250136564</v>
      </c>
      <c r="K53" s="252">
        <f>+'P&amp;L'!K23*0.9</f>
        <v>39.6873953626434</v>
      </c>
    </row>
    <row r="54" spans="1:11" x14ac:dyDescent="0.25">
      <c r="A54" s="251" t="s">
        <v>337</v>
      </c>
      <c r="B54" s="252">
        <f>+'P&amp;L'!B25*0.9</f>
        <v>22.120200000000001</v>
      </c>
      <c r="C54" s="252">
        <f>+'P&amp;L'!C25*0.9</f>
        <v>24.654600000000002</v>
      </c>
      <c r="D54" s="252">
        <f>+'P&amp;L'!D25*0.9</f>
        <v>27.296999999999997</v>
      </c>
      <c r="E54" s="252">
        <f>+'P&amp;L'!E25*0.9</f>
        <v>29.990700000000007</v>
      </c>
      <c r="F54" s="252">
        <f>+'P&amp;L'!F25*0.9</f>
        <v>33.029100000000014</v>
      </c>
      <c r="G54" s="252">
        <f>+'P&amp;L'!G25*0.9</f>
        <v>35.884799999999998</v>
      </c>
      <c r="H54" s="252">
        <f>+'P&amp;L'!H25*0.9</f>
        <v>38.733300000000007</v>
      </c>
      <c r="I54" s="252">
        <f>+'P&amp;L'!I25*0.9</f>
        <v>41.058000000000014</v>
      </c>
      <c r="J54" s="252">
        <f>+'P&amp;L'!J25*0.9</f>
        <v>43.641900000000007</v>
      </c>
      <c r="K54" s="252">
        <f>+'P&amp;L'!K25*0.9</f>
        <v>45.989100000000008</v>
      </c>
    </row>
    <row r="55" spans="1:11" x14ac:dyDescent="0.25">
      <c r="A55" s="250" t="s">
        <v>572</v>
      </c>
      <c r="B55" s="253">
        <f>SUM(B52:B54)</f>
        <v>152.03929500000001</v>
      </c>
      <c r="C55" s="253">
        <f t="shared" ref="C55:K55" si="10">SUM(C52:C54)</f>
        <v>171.82835775000001</v>
      </c>
      <c r="D55" s="253">
        <f t="shared" si="10"/>
        <v>193.34465763749998</v>
      </c>
      <c r="E55" s="253">
        <f t="shared" si="10"/>
        <v>216.42425751937503</v>
      </c>
      <c r="F55" s="253">
        <f t="shared" si="10"/>
        <v>241.44481539534377</v>
      </c>
      <c r="G55" s="253">
        <f t="shared" si="10"/>
        <v>268.02824216511095</v>
      </c>
      <c r="H55" s="253">
        <f t="shared" si="10"/>
        <v>296.45037977336648</v>
      </c>
      <c r="I55" s="253">
        <f t="shared" si="10"/>
        <v>326.29289976203484</v>
      </c>
      <c r="J55" s="253">
        <f t="shared" si="10"/>
        <v>358.51511225013655</v>
      </c>
      <c r="K55" s="253">
        <f t="shared" si="10"/>
        <v>392.72067536264342</v>
      </c>
    </row>
    <row r="56" spans="1:11" x14ac:dyDescent="0.25">
      <c r="A56" s="254" t="s">
        <v>573</v>
      </c>
      <c r="B56" s="255">
        <f>B50-B55</f>
        <v>51.348704999999995</v>
      </c>
      <c r="C56" s="255">
        <f>C50-C55</f>
        <v>67.034242250000005</v>
      </c>
      <c r="D56" s="255">
        <f>D50-D55</f>
        <v>80.220542362500026</v>
      </c>
      <c r="E56" s="255">
        <f>E50-E55</f>
        <v>94.696842480624923</v>
      </c>
      <c r="F56" s="255">
        <f>F50-F55</f>
        <v>110.43018460465623</v>
      </c>
      <c r="G56" s="255">
        <f t="shared" ref="G56:K56" si="11">G50-G55</f>
        <v>127.76555783488908</v>
      </c>
      <c r="H56" s="255">
        <f t="shared" si="11"/>
        <v>145.19602022663361</v>
      </c>
      <c r="I56" s="255">
        <f t="shared" si="11"/>
        <v>164.84320023796522</v>
      </c>
      <c r="J56" s="255">
        <f t="shared" si="11"/>
        <v>186.1585877498635</v>
      </c>
      <c r="K56" s="255">
        <f t="shared" si="11"/>
        <v>209.51172463735668</v>
      </c>
    </row>
  </sheetData>
  <mergeCells count="1">
    <mergeCell ref="A1:K1"/>
  </mergeCells>
  <pageMargins left="0.7" right="0.7" top="0.75" bottom="0.75" header="0.3" footer="0.3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="60" zoomScaleNormal="100" workbookViewId="0">
      <selection activeCell="B10" sqref="B10"/>
    </sheetView>
  </sheetViews>
  <sheetFormatPr defaultRowHeight="15" x14ac:dyDescent="0.25"/>
  <cols>
    <col min="1" max="1" width="32.7109375" style="1" bestFit="1" customWidth="1"/>
    <col min="2" max="2" width="27.5703125" style="1" bestFit="1" customWidth="1"/>
    <col min="3" max="3" width="23.7109375" style="1" bestFit="1" customWidth="1"/>
    <col min="4" max="4" width="22.28515625" style="1" bestFit="1" customWidth="1"/>
    <col min="5" max="5" width="22" style="1" bestFit="1" customWidth="1"/>
    <col min="6" max="6" width="9.140625" style="1"/>
    <col min="7" max="7" width="12" style="1" bestFit="1" customWidth="1"/>
    <col min="8" max="8" width="9.140625" style="1"/>
    <col min="9" max="9" width="12.42578125" style="1" bestFit="1" customWidth="1"/>
    <col min="10" max="10" width="6" style="1" bestFit="1" customWidth="1"/>
    <col min="11" max="16384" width="9.140625" style="1"/>
  </cols>
  <sheetData>
    <row r="1" spans="1:12" ht="18.75" x14ac:dyDescent="0.3">
      <c r="A1" s="327" t="s">
        <v>25</v>
      </c>
      <c r="B1" s="327"/>
    </row>
    <row r="2" spans="1:12" ht="15.75" x14ac:dyDescent="0.25">
      <c r="A2" s="12" t="s">
        <v>26</v>
      </c>
    </row>
    <row r="3" spans="1:12" x14ac:dyDescent="0.25">
      <c r="A3" s="15" t="s">
        <v>1</v>
      </c>
      <c r="B3" s="15" t="s">
        <v>27</v>
      </c>
      <c r="C3" s="15" t="s">
        <v>547</v>
      </c>
      <c r="D3" s="15" t="s">
        <v>637</v>
      </c>
      <c r="E3" s="15" t="s">
        <v>638</v>
      </c>
    </row>
    <row r="4" spans="1:12" x14ac:dyDescent="0.25">
      <c r="A4" s="6"/>
      <c r="B4" s="6"/>
      <c r="C4" s="6"/>
    </row>
    <row r="5" spans="1:12" x14ac:dyDescent="0.25">
      <c r="A5" s="6" t="s">
        <v>28</v>
      </c>
      <c r="B5" s="9">
        <v>0</v>
      </c>
      <c r="C5" s="242">
        <f>B5/$B$15</f>
        <v>0</v>
      </c>
      <c r="D5" s="288">
        <v>0</v>
      </c>
      <c r="E5" s="25">
        <f>B5*D5</f>
        <v>0</v>
      </c>
    </row>
    <row r="6" spans="1:12" x14ac:dyDescent="0.25">
      <c r="A6" s="6" t="s">
        <v>5</v>
      </c>
      <c r="B6" s="19">
        <f>'Capital Cost'!C7</f>
        <v>191.11</v>
      </c>
      <c r="C6" s="242">
        <f t="shared" ref="C6:C13" si="0">B6/$B$15</f>
        <v>0.60573454761497258</v>
      </c>
      <c r="D6" s="288">
        <v>0.6</v>
      </c>
      <c r="E6" s="25">
        <f t="shared" ref="E6:E13" si="1">B6*D6</f>
        <v>114.66600000000001</v>
      </c>
    </row>
    <row r="7" spans="1:12" x14ac:dyDescent="0.25">
      <c r="A7" s="6" t="s">
        <v>7</v>
      </c>
      <c r="B7" s="19">
        <v>0</v>
      </c>
      <c r="C7" s="242">
        <f t="shared" si="0"/>
        <v>0</v>
      </c>
      <c r="D7" s="288">
        <v>0</v>
      </c>
      <c r="E7" s="25">
        <f t="shared" si="1"/>
        <v>0</v>
      </c>
    </row>
    <row r="8" spans="1:12" x14ac:dyDescent="0.25">
      <c r="A8" s="10" t="s">
        <v>405</v>
      </c>
      <c r="B8" s="19">
        <f>+'Capital Cost'!C16+'Capital Cost'!C29+'Capital Cost'!C31+'Capital Cost'!C38</f>
        <v>106.41999999999999</v>
      </c>
      <c r="C8" s="242">
        <f t="shared" si="0"/>
        <v>0.33730453956980466</v>
      </c>
      <c r="D8" s="288">
        <v>0.6</v>
      </c>
      <c r="E8" s="25">
        <f t="shared" si="1"/>
        <v>63.85199999999999</v>
      </c>
    </row>
    <row r="9" spans="1:12" hidden="1" x14ac:dyDescent="0.25">
      <c r="A9" s="10" t="s">
        <v>491</v>
      </c>
      <c r="B9" s="19"/>
      <c r="C9" s="242">
        <f t="shared" si="0"/>
        <v>0</v>
      </c>
      <c r="D9" s="288"/>
      <c r="E9" s="25">
        <f t="shared" si="1"/>
        <v>0</v>
      </c>
    </row>
    <row r="10" spans="1:12" x14ac:dyDescent="0.25">
      <c r="A10" s="10" t="s">
        <v>587</v>
      </c>
      <c r="B10" s="19">
        <f>+'Capital Cost'!C41</f>
        <v>14.876500000000002</v>
      </c>
      <c r="C10" s="242">
        <f t="shared" si="0"/>
        <v>4.7151954359238864E-2</v>
      </c>
      <c r="D10" s="288">
        <v>0.6</v>
      </c>
      <c r="E10" s="25">
        <f t="shared" si="1"/>
        <v>8.9259000000000004</v>
      </c>
    </row>
    <row r="11" spans="1:12" x14ac:dyDescent="0.25">
      <c r="A11" s="10" t="s">
        <v>406</v>
      </c>
      <c r="B11" s="19">
        <v>0</v>
      </c>
      <c r="C11" s="242">
        <f t="shared" si="0"/>
        <v>0</v>
      </c>
      <c r="D11" s="288">
        <v>0.6</v>
      </c>
      <c r="E11" s="25">
        <f t="shared" si="1"/>
        <v>0</v>
      </c>
    </row>
    <row r="12" spans="1:12" x14ac:dyDescent="0.25">
      <c r="A12" s="6" t="s">
        <v>21</v>
      </c>
      <c r="B12" s="19">
        <v>0</v>
      </c>
      <c r="C12" s="242">
        <f t="shared" si="0"/>
        <v>0</v>
      </c>
      <c r="D12" s="288">
        <v>0</v>
      </c>
      <c r="E12" s="25">
        <f t="shared" si="1"/>
        <v>0</v>
      </c>
    </row>
    <row r="13" spans="1:12" x14ac:dyDescent="0.25">
      <c r="A13" s="6" t="s">
        <v>23</v>
      </c>
      <c r="B13" s="19">
        <f>'WC Assessment'!C13</f>
        <v>3.0947385416666662</v>
      </c>
      <c r="C13" s="242">
        <f t="shared" si="0"/>
        <v>9.8089584559838718E-3</v>
      </c>
      <c r="D13" s="288">
        <v>0</v>
      </c>
      <c r="E13" s="25">
        <f t="shared" si="1"/>
        <v>0</v>
      </c>
      <c r="L13"/>
    </row>
    <row r="14" spans="1:12" x14ac:dyDescent="0.25">
      <c r="A14" s="6"/>
      <c r="B14" s="6"/>
      <c r="C14" s="6"/>
      <c r="I14"/>
      <c r="J14"/>
      <c r="K14"/>
      <c r="L14"/>
    </row>
    <row r="15" spans="1:12" x14ac:dyDescent="0.25">
      <c r="A15" s="215" t="s">
        <v>29</v>
      </c>
      <c r="B15" s="243">
        <f>SUM(B5:B14)</f>
        <v>315.50123854166668</v>
      </c>
      <c r="C15" s="244">
        <f>B15/$B$15</f>
        <v>1</v>
      </c>
      <c r="E15" s="25">
        <f>SUM(E5:E14)</f>
        <v>187.44390000000001</v>
      </c>
      <c r="I15"/>
      <c r="J15"/>
      <c r="K15"/>
      <c r="L15"/>
    </row>
    <row r="16" spans="1:12" x14ac:dyDescent="0.25">
      <c r="I16"/>
      <c r="J16"/>
      <c r="K16"/>
      <c r="L16"/>
    </row>
    <row r="17" spans="1:12" ht="15.75" x14ac:dyDescent="0.25">
      <c r="A17" s="14" t="s">
        <v>30</v>
      </c>
      <c r="I17"/>
      <c r="J17"/>
      <c r="K17"/>
      <c r="L17"/>
    </row>
    <row r="18" spans="1:12" x14ac:dyDescent="0.25">
      <c r="A18" s="15" t="s">
        <v>1</v>
      </c>
      <c r="B18" s="15" t="s">
        <v>27</v>
      </c>
      <c r="C18" s="15" t="s">
        <v>548</v>
      </c>
      <c r="I18"/>
      <c r="J18"/>
      <c r="K18"/>
      <c r="L18"/>
    </row>
    <row r="19" spans="1:12" x14ac:dyDescent="0.25">
      <c r="A19" s="6" t="s">
        <v>32</v>
      </c>
      <c r="B19" s="19">
        <f>+B15-B20</f>
        <v>128.05733854166667</v>
      </c>
      <c r="C19" s="242">
        <f>B19/$B$23</f>
        <v>0.40588537507359029</v>
      </c>
      <c r="D19" s="38"/>
      <c r="I19"/>
      <c r="J19"/>
      <c r="K19"/>
      <c r="L19"/>
    </row>
    <row r="20" spans="1:12" x14ac:dyDescent="0.25">
      <c r="A20" s="6" t="s">
        <v>326</v>
      </c>
      <c r="B20" s="19">
        <f>+E15</f>
        <v>187.44390000000001</v>
      </c>
      <c r="C20" s="242">
        <f t="shared" ref="C20:C23" si="2">B20/$B$23</f>
        <v>0.59411462492640965</v>
      </c>
      <c r="D20" s="38"/>
    </row>
    <row r="21" spans="1:12" x14ac:dyDescent="0.25">
      <c r="A21" s="6" t="s">
        <v>31</v>
      </c>
      <c r="B21" s="19">
        <v>0</v>
      </c>
      <c r="C21" s="242">
        <f t="shared" si="2"/>
        <v>0</v>
      </c>
      <c r="D21" s="38"/>
    </row>
    <row r="22" spans="1:12" x14ac:dyDescent="0.25">
      <c r="A22" s="6"/>
      <c r="B22" s="6"/>
      <c r="C22" s="6"/>
    </row>
    <row r="23" spans="1:12" x14ac:dyDescent="0.25">
      <c r="A23" s="215" t="s">
        <v>29</v>
      </c>
      <c r="B23" s="243">
        <f>B15</f>
        <v>315.50123854166668</v>
      </c>
      <c r="C23" s="244">
        <f t="shared" si="2"/>
        <v>1</v>
      </c>
    </row>
  </sheetData>
  <mergeCells count="1">
    <mergeCell ref="A1:B1"/>
  </mergeCells>
  <pageMargins left="0.7" right="0.7" top="0.75" bottom="0.75" header="0.3" footer="0.3"/>
  <pageSetup scale="7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view="pageBreakPreview" zoomScale="60" zoomScaleNormal="100" workbookViewId="0">
      <selection activeCell="N21" sqref="N21"/>
    </sheetView>
  </sheetViews>
  <sheetFormatPr defaultColWidth="9.140625" defaultRowHeight="15" x14ac:dyDescent="0.25"/>
  <cols>
    <col min="1" max="1" width="22.42578125" bestFit="1" customWidth="1"/>
    <col min="2" max="2" width="9.5703125" bestFit="1" customWidth="1"/>
    <col min="3" max="3" width="11.140625" customWidth="1"/>
  </cols>
  <sheetData>
    <row r="1" spans="1:19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9" s="266" customFormat="1" ht="30" x14ac:dyDescent="0.25">
      <c r="A2" s="283" t="s">
        <v>601</v>
      </c>
      <c r="B2" s="284" t="s">
        <v>36</v>
      </c>
      <c r="C2" s="284" t="s">
        <v>37</v>
      </c>
      <c r="D2" s="284" t="s">
        <v>38</v>
      </c>
      <c r="E2" s="284" t="s">
        <v>39</v>
      </c>
      <c r="F2" s="284" t="s">
        <v>40</v>
      </c>
      <c r="G2" s="284" t="s">
        <v>41</v>
      </c>
      <c r="H2" s="284" t="s">
        <v>42</v>
      </c>
      <c r="I2" s="284" t="s">
        <v>494</v>
      </c>
      <c r="J2" s="284" t="s">
        <v>495</v>
      </c>
      <c r="K2" s="284" t="s">
        <v>496</v>
      </c>
    </row>
    <row r="3" spans="1:19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9" x14ac:dyDescent="0.25">
      <c r="A4" s="18" t="s">
        <v>599</v>
      </c>
      <c r="B4" s="285">
        <v>300</v>
      </c>
      <c r="C4" s="285">
        <f>ROUND(B4*120%,0)</f>
        <v>360</v>
      </c>
      <c r="D4" s="285">
        <f t="shared" ref="D4:K4" si="0">ROUND(C4*120%,0)</f>
        <v>432</v>
      </c>
      <c r="E4" s="285">
        <f t="shared" si="0"/>
        <v>518</v>
      </c>
      <c r="F4" s="285">
        <f t="shared" si="0"/>
        <v>622</v>
      </c>
      <c r="G4" s="285">
        <f t="shared" si="0"/>
        <v>746</v>
      </c>
      <c r="H4" s="285">
        <f t="shared" si="0"/>
        <v>895</v>
      </c>
      <c r="I4" s="285">
        <f t="shared" si="0"/>
        <v>1074</v>
      </c>
      <c r="J4" s="285">
        <f t="shared" si="0"/>
        <v>1289</v>
      </c>
      <c r="K4" s="285">
        <f t="shared" si="0"/>
        <v>1547</v>
      </c>
    </row>
    <row r="5" spans="1:19" x14ac:dyDescent="0.25">
      <c r="A5" s="18" t="s">
        <v>600</v>
      </c>
      <c r="B5" s="285">
        <v>5100</v>
      </c>
      <c r="C5" s="285">
        <f>B5-(C4-B4)</f>
        <v>5040</v>
      </c>
      <c r="D5" s="285">
        <f t="shared" ref="D5:H5" si="1">C5-(D4-C4)</f>
        <v>4968</v>
      </c>
      <c r="E5" s="285">
        <f t="shared" si="1"/>
        <v>4882</v>
      </c>
      <c r="F5" s="285">
        <f t="shared" si="1"/>
        <v>4778</v>
      </c>
      <c r="G5" s="285">
        <f t="shared" si="1"/>
        <v>4654</v>
      </c>
      <c r="H5" s="285">
        <f t="shared" si="1"/>
        <v>4505</v>
      </c>
      <c r="I5" s="285">
        <f t="shared" ref="I5" si="2">H5-(I4-H4)</f>
        <v>4326</v>
      </c>
      <c r="J5" s="285">
        <f t="shared" ref="J5" si="3">I5-(J4-I4)</f>
        <v>4111</v>
      </c>
      <c r="K5" s="285">
        <f t="shared" ref="K5" si="4">J5-(K4-J4)</f>
        <v>3853</v>
      </c>
    </row>
    <row r="6" spans="1:19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9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9" s="266" customFormat="1" x14ac:dyDescent="0.25">
      <c r="A8" s="278" t="s">
        <v>602</v>
      </c>
      <c r="B8" s="284" t="s">
        <v>36</v>
      </c>
      <c r="C8" s="284" t="s">
        <v>37</v>
      </c>
      <c r="D8" s="284" t="s">
        <v>38</v>
      </c>
      <c r="E8" s="284" t="s">
        <v>39</v>
      </c>
      <c r="F8" s="284" t="s">
        <v>40</v>
      </c>
      <c r="G8" s="284" t="s">
        <v>41</v>
      </c>
      <c r="H8" s="284" t="s">
        <v>42</v>
      </c>
      <c r="I8" s="284" t="s">
        <v>494</v>
      </c>
      <c r="J8" s="284" t="s">
        <v>495</v>
      </c>
      <c r="K8" s="284" t="s">
        <v>496</v>
      </c>
      <c r="O8"/>
      <c r="P8"/>
    </row>
    <row r="9" spans="1:19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9" x14ac:dyDescent="0.25">
      <c r="A10" s="18" t="s">
        <v>599</v>
      </c>
      <c r="B10" s="286">
        <v>950</v>
      </c>
      <c r="C10" s="286">
        <f>B10+(B11-C11)</f>
        <v>1100</v>
      </c>
      <c r="D10" s="286">
        <f t="shared" ref="D10:K10" si="5">C10+(C11-D11)</f>
        <v>1280</v>
      </c>
      <c r="E10" s="286">
        <f t="shared" si="5"/>
        <v>1495</v>
      </c>
      <c r="F10" s="286">
        <f t="shared" si="5"/>
        <v>1755</v>
      </c>
      <c r="G10" s="286">
        <f t="shared" si="5"/>
        <v>2065</v>
      </c>
      <c r="H10" s="286">
        <f t="shared" si="5"/>
        <v>2437.5</v>
      </c>
      <c r="I10" s="286">
        <f t="shared" si="5"/>
        <v>2885</v>
      </c>
      <c r="J10" s="286">
        <f t="shared" si="5"/>
        <v>3422.5</v>
      </c>
      <c r="K10" s="286">
        <f t="shared" si="5"/>
        <v>4067.5</v>
      </c>
    </row>
    <row r="11" spans="1:19" x14ac:dyDescent="0.25">
      <c r="A11" s="18" t="s">
        <v>600</v>
      </c>
      <c r="B11" s="286">
        <f>B5*2.5</f>
        <v>12750</v>
      </c>
      <c r="C11" s="286">
        <f t="shared" ref="C11:K11" si="6">C5*2.5</f>
        <v>12600</v>
      </c>
      <c r="D11" s="286">
        <f t="shared" si="6"/>
        <v>12420</v>
      </c>
      <c r="E11" s="286">
        <f t="shared" si="6"/>
        <v>12205</v>
      </c>
      <c r="F11" s="286">
        <f t="shared" si="6"/>
        <v>11945</v>
      </c>
      <c r="G11" s="286">
        <f t="shared" si="6"/>
        <v>11635</v>
      </c>
      <c r="H11" s="286">
        <f t="shared" si="6"/>
        <v>11262.5</v>
      </c>
      <c r="I11" s="286">
        <f t="shared" si="6"/>
        <v>10815</v>
      </c>
      <c r="J11" s="286">
        <f t="shared" si="6"/>
        <v>10277.5</v>
      </c>
      <c r="K11" s="286">
        <f t="shared" si="6"/>
        <v>9632.5</v>
      </c>
    </row>
    <row r="12" spans="1:19" x14ac:dyDescent="0.25">
      <c r="A12" s="18"/>
      <c r="B12" s="285"/>
      <c r="C12" s="285"/>
      <c r="D12" s="285"/>
      <c r="E12" s="285"/>
      <c r="F12" s="285"/>
      <c r="G12" s="285"/>
      <c r="H12" s="285"/>
      <c r="I12" s="285"/>
      <c r="J12" s="285"/>
      <c r="K12" s="285"/>
    </row>
    <row r="13" spans="1:19" s="266" customFormat="1" x14ac:dyDescent="0.25">
      <c r="A13" s="278" t="s">
        <v>603</v>
      </c>
      <c r="B13" s="287">
        <f>SUM(B10:B12)</f>
        <v>13700</v>
      </c>
      <c r="C13" s="287">
        <f t="shared" ref="C13:K13" si="7">SUM(C10:C12)</f>
        <v>13700</v>
      </c>
      <c r="D13" s="287">
        <f t="shared" si="7"/>
        <v>13700</v>
      </c>
      <c r="E13" s="287">
        <f t="shared" si="7"/>
        <v>13700</v>
      </c>
      <c r="F13" s="287">
        <f t="shared" si="7"/>
        <v>13700</v>
      </c>
      <c r="G13" s="287">
        <f t="shared" si="7"/>
        <v>13700</v>
      </c>
      <c r="H13" s="287">
        <f t="shared" si="7"/>
        <v>13700</v>
      </c>
      <c r="I13" s="287">
        <f t="shared" si="7"/>
        <v>13700</v>
      </c>
      <c r="J13" s="287">
        <f t="shared" si="7"/>
        <v>13700</v>
      </c>
      <c r="K13" s="287">
        <f t="shared" si="7"/>
        <v>13700</v>
      </c>
    </row>
    <row r="14" spans="1:19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9" s="266" customFormat="1" ht="50.25" customHeight="1" x14ac:dyDescent="0.25">
      <c r="A15" s="283" t="s">
        <v>636</v>
      </c>
      <c r="B15" s="287">
        <f>B13*0.7</f>
        <v>9590</v>
      </c>
      <c r="C15" s="287">
        <f t="shared" ref="C15:K15" si="8">C13*0.7</f>
        <v>9590</v>
      </c>
      <c r="D15" s="287">
        <f t="shared" si="8"/>
        <v>9590</v>
      </c>
      <c r="E15" s="287">
        <f t="shared" si="8"/>
        <v>9590</v>
      </c>
      <c r="F15" s="287">
        <f t="shared" si="8"/>
        <v>9590</v>
      </c>
      <c r="G15" s="287">
        <f t="shared" si="8"/>
        <v>9590</v>
      </c>
      <c r="H15" s="287">
        <f t="shared" si="8"/>
        <v>9590</v>
      </c>
      <c r="I15" s="287">
        <f t="shared" si="8"/>
        <v>9590</v>
      </c>
      <c r="J15" s="287">
        <f t="shared" si="8"/>
        <v>9590</v>
      </c>
      <c r="K15" s="287">
        <f t="shared" si="8"/>
        <v>9590</v>
      </c>
      <c r="P15"/>
      <c r="Q15"/>
      <c r="R15"/>
      <c r="S15"/>
    </row>
    <row r="16" spans="1:19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9" s="266" customFormat="1" ht="30" x14ac:dyDescent="0.25">
      <c r="A17" s="283" t="s">
        <v>605</v>
      </c>
      <c r="B17" s="284">
        <f>'Output Schedule'!B12+'Output Schedule'!B17</f>
        <v>5000</v>
      </c>
      <c r="C17" s="284">
        <f>'Output Schedule'!C12+'Output Schedule'!C17</f>
        <v>5500</v>
      </c>
      <c r="D17" s="284">
        <f>'Output Schedule'!D12+'Output Schedule'!D17</f>
        <v>6000.0000000000009</v>
      </c>
      <c r="E17" s="284">
        <f>'Output Schedule'!E12+'Output Schedule'!E17</f>
        <v>6500.0000000000009</v>
      </c>
      <c r="F17" s="284">
        <f>'Output Schedule'!F12+'Output Schedule'!F17</f>
        <v>7000.0000000000018</v>
      </c>
      <c r="G17" s="284">
        <f>'Output Schedule'!G12+'Output Schedule'!G17</f>
        <v>7500.0000000000018</v>
      </c>
      <c r="H17" s="284">
        <f>'Output Schedule'!H12+'Output Schedule'!H17</f>
        <v>8000.0000000000027</v>
      </c>
      <c r="I17" s="284">
        <f>'Output Schedule'!I12+'Output Schedule'!I17</f>
        <v>8500.0000000000036</v>
      </c>
      <c r="J17" s="284">
        <f>'Output Schedule'!J12+'Output Schedule'!J17</f>
        <v>9000.0000000000036</v>
      </c>
      <c r="K17" s="284">
        <f>'Output Schedule'!K12+'Output Schedule'!K17</f>
        <v>9500.0000000000036</v>
      </c>
    </row>
    <row r="27" spans="1:19" x14ac:dyDescent="0.25">
      <c r="S27">
        <f>347/910</f>
        <v>0.3813186813186813</v>
      </c>
    </row>
  </sheetData>
  <pageMargins left="0.7" right="0.7" top="0.75" bottom="0.75" header="0.3" footer="0.3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4"/>
  <sheetViews>
    <sheetView view="pageBreakPreview" topLeftCell="B1" zoomScale="60" zoomScaleNormal="90" workbookViewId="0">
      <selection activeCell="B3" sqref="B3:L21"/>
    </sheetView>
  </sheetViews>
  <sheetFormatPr defaultRowHeight="15" x14ac:dyDescent="0.25"/>
  <cols>
    <col min="1" max="1" width="0" style="1" hidden="1" customWidth="1"/>
    <col min="2" max="2" width="32.28515625" style="1" bestFit="1" customWidth="1"/>
    <col min="3" max="10" width="9.42578125" style="1" bestFit="1" customWidth="1"/>
    <col min="11" max="11" width="8.42578125" style="1" bestFit="1" customWidth="1"/>
    <col min="12" max="12" width="8" style="1" bestFit="1" customWidth="1"/>
    <col min="13" max="14" width="9.140625" style="1"/>
    <col min="15" max="15" width="30.5703125" style="1" bestFit="1" customWidth="1"/>
    <col min="16" max="18" width="9.42578125" style="1" bestFit="1" customWidth="1"/>
    <col min="19" max="25" width="8.42578125" style="1" bestFit="1" customWidth="1"/>
    <col min="26" max="16384" width="9.140625" style="1"/>
  </cols>
  <sheetData>
    <row r="2" spans="2:25" x14ac:dyDescent="0.25">
      <c r="B2" s="328" t="s">
        <v>34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O2" s="328" t="s">
        <v>35</v>
      </c>
      <c r="P2" s="329"/>
      <c r="Q2" s="329"/>
      <c r="R2" s="329"/>
      <c r="S2" s="329"/>
      <c r="T2" s="329"/>
      <c r="U2" s="329"/>
      <c r="V2" s="329"/>
      <c r="W2" s="329"/>
      <c r="X2" s="329"/>
      <c r="Y2" s="329"/>
    </row>
    <row r="3" spans="2:25" x14ac:dyDescent="0.25">
      <c r="B3" s="17" t="s">
        <v>1</v>
      </c>
      <c r="C3" s="17" t="s">
        <v>36</v>
      </c>
      <c r="D3" s="17" t="s">
        <v>37</v>
      </c>
      <c r="E3" s="17" t="s">
        <v>38</v>
      </c>
      <c r="F3" s="17" t="s">
        <v>39</v>
      </c>
      <c r="G3" s="17" t="s">
        <v>40</v>
      </c>
      <c r="H3" s="17" t="s">
        <v>41</v>
      </c>
      <c r="I3" s="17" t="s">
        <v>42</v>
      </c>
      <c r="J3" s="17" t="s">
        <v>494</v>
      </c>
      <c r="K3" s="17" t="s">
        <v>495</v>
      </c>
      <c r="L3" s="17" t="s">
        <v>496</v>
      </c>
      <c r="O3" s="17" t="s">
        <v>1</v>
      </c>
      <c r="P3" s="17" t="s">
        <v>36</v>
      </c>
      <c r="Q3" s="17" t="s">
        <v>37</v>
      </c>
      <c r="R3" s="17" t="s">
        <v>38</v>
      </c>
      <c r="S3" s="17" t="s">
        <v>39</v>
      </c>
      <c r="T3" s="17" t="s">
        <v>40</v>
      </c>
      <c r="U3" s="17" t="s">
        <v>41</v>
      </c>
      <c r="V3" s="17" t="s">
        <v>42</v>
      </c>
      <c r="W3" s="17" t="s">
        <v>494</v>
      </c>
      <c r="X3" s="17" t="s">
        <v>495</v>
      </c>
      <c r="Y3" s="17" t="s">
        <v>496</v>
      </c>
    </row>
    <row r="4" spans="2:25" x14ac:dyDescent="0.25">
      <c r="B4" s="8" t="s">
        <v>43</v>
      </c>
      <c r="C4" s="6"/>
      <c r="D4" s="6"/>
      <c r="E4" s="6"/>
      <c r="F4" s="6"/>
      <c r="G4" s="6"/>
      <c r="H4" s="6"/>
      <c r="I4" s="6"/>
      <c r="J4" s="6"/>
      <c r="K4" s="6"/>
      <c r="L4" s="6"/>
      <c r="O4" s="8" t="s">
        <v>44</v>
      </c>
      <c r="P4" s="6"/>
      <c r="Q4" s="6"/>
      <c r="R4" s="6"/>
      <c r="S4" s="6"/>
      <c r="T4" s="6"/>
      <c r="U4" s="6"/>
      <c r="V4" s="6"/>
      <c r="W4" s="6"/>
      <c r="X4" s="6"/>
      <c r="Y4" s="6"/>
    </row>
    <row r="5" spans="2:25" x14ac:dyDescent="0.25">
      <c r="B5" s="6" t="s">
        <v>45</v>
      </c>
      <c r="C5" s="19">
        <f>'Project Glance'!B6+'Project Glance'!B7</f>
        <v>191.11</v>
      </c>
      <c r="D5" s="19">
        <f>C7</f>
        <v>185.05181300000001</v>
      </c>
      <c r="E5" s="19">
        <f t="shared" ref="E5:I5" si="0">D7</f>
        <v>178.99362600000001</v>
      </c>
      <c r="F5" s="19">
        <f t="shared" si="0"/>
        <v>172.935439</v>
      </c>
      <c r="G5" s="19">
        <f t="shared" si="0"/>
        <v>166.877252</v>
      </c>
      <c r="H5" s="19">
        <f t="shared" si="0"/>
        <v>160.81906499999999</v>
      </c>
      <c r="I5" s="19">
        <f t="shared" si="0"/>
        <v>154.76087799999999</v>
      </c>
      <c r="J5" s="19">
        <f t="shared" ref="J5" si="1">I7</f>
        <v>148.70269099999999</v>
      </c>
      <c r="K5" s="19">
        <f t="shared" ref="K5" si="2">J7</f>
        <v>142.64450399999998</v>
      </c>
      <c r="L5" s="19">
        <f t="shared" ref="L5" si="3">K7</f>
        <v>136.58631699999998</v>
      </c>
      <c r="O5" s="6" t="s">
        <v>45</v>
      </c>
      <c r="P5" s="19">
        <f>C5</f>
        <v>191.11</v>
      </c>
      <c r="Q5" s="19">
        <f>P7</f>
        <v>171.99900000000002</v>
      </c>
      <c r="R5" s="19">
        <f t="shared" ref="R5:V5" si="4">Q7</f>
        <v>154.79910000000001</v>
      </c>
      <c r="S5" s="19">
        <f t="shared" si="4"/>
        <v>139.31919000000002</v>
      </c>
      <c r="T5" s="19">
        <f t="shared" si="4"/>
        <v>125.38727100000001</v>
      </c>
      <c r="U5" s="19">
        <f t="shared" si="4"/>
        <v>112.84854390000001</v>
      </c>
      <c r="V5" s="19">
        <f t="shared" si="4"/>
        <v>101.56368951</v>
      </c>
      <c r="W5" s="19">
        <f t="shared" ref="W5" si="5">V7</f>
        <v>91.407320558999999</v>
      </c>
      <c r="X5" s="19">
        <f t="shared" ref="X5" si="6">W7</f>
        <v>82.266588503099996</v>
      </c>
      <c r="Y5" s="19">
        <f t="shared" ref="Y5" si="7">X7</f>
        <v>74.039929652789993</v>
      </c>
    </row>
    <row r="6" spans="2:25" x14ac:dyDescent="0.25">
      <c r="B6" s="6" t="s">
        <v>46</v>
      </c>
      <c r="C6" s="19">
        <f>C5*3.17%</f>
        <v>6.0581870000000002</v>
      </c>
      <c r="D6" s="19">
        <f>C6</f>
        <v>6.0581870000000002</v>
      </c>
      <c r="E6" s="19">
        <f t="shared" ref="E6:I6" si="8">D6</f>
        <v>6.0581870000000002</v>
      </c>
      <c r="F6" s="19">
        <f t="shared" si="8"/>
        <v>6.0581870000000002</v>
      </c>
      <c r="G6" s="19">
        <f t="shared" si="8"/>
        <v>6.0581870000000002</v>
      </c>
      <c r="H6" s="19">
        <f t="shared" si="8"/>
        <v>6.0581870000000002</v>
      </c>
      <c r="I6" s="19">
        <f t="shared" si="8"/>
        <v>6.0581870000000002</v>
      </c>
      <c r="J6" s="19">
        <f t="shared" ref="J6" si="9">I6</f>
        <v>6.0581870000000002</v>
      </c>
      <c r="K6" s="19">
        <f t="shared" ref="K6" si="10">J6</f>
        <v>6.0581870000000002</v>
      </c>
      <c r="L6" s="19">
        <f t="shared" ref="L6" si="11">K6</f>
        <v>6.0581870000000002</v>
      </c>
      <c r="O6" s="1" t="s">
        <v>47</v>
      </c>
      <c r="P6" s="19">
        <f>P5*10%</f>
        <v>19.111000000000001</v>
      </c>
      <c r="Q6" s="19">
        <f>Q5*10%</f>
        <v>17.199900000000003</v>
      </c>
      <c r="R6" s="19">
        <f t="shared" ref="R6:V6" si="12">R5*10%</f>
        <v>15.479910000000002</v>
      </c>
      <c r="S6" s="19">
        <f t="shared" si="12"/>
        <v>13.931919000000002</v>
      </c>
      <c r="T6" s="19">
        <f t="shared" si="12"/>
        <v>12.538727100000003</v>
      </c>
      <c r="U6" s="19">
        <f t="shared" si="12"/>
        <v>11.284854390000001</v>
      </c>
      <c r="V6" s="19">
        <f t="shared" si="12"/>
        <v>10.156368951000001</v>
      </c>
      <c r="W6" s="19">
        <f t="shared" ref="W6:Y6" si="13">W5*10%</f>
        <v>9.1407320559000009</v>
      </c>
      <c r="X6" s="19">
        <f t="shared" si="13"/>
        <v>8.2266588503100007</v>
      </c>
      <c r="Y6" s="19">
        <f t="shared" si="13"/>
        <v>7.4039929652789995</v>
      </c>
    </row>
    <row r="7" spans="2:25" x14ac:dyDescent="0.25">
      <c r="B7" s="6" t="s">
        <v>48</v>
      </c>
      <c r="C7" s="19">
        <f>C5-C6</f>
        <v>185.05181300000001</v>
      </c>
      <c r="D7" s="19">
        <f t="shared" ref="D7:I7" si="14">D5-D6</f>
        <v>178.99362600000001</v>
      </c>
      <c r="E7" s="19">
        <f t="shared" si="14"/>
        <v>172.935439</v>
      </c>
      <c r="F7" s="19">
        <f t="shared" si="14"/>
        <v>166.877252</v>
      </c>
      <c r="G7" s="19">
        <f t="shared" si="14"/>
        <v>160.81906499999999</v>
      </c>
      <c r="H7" s="19">
        <f t="shared" si="14"/>
        <v>154.76087799999999</v>
      </c>
      <c r="I7" s="19">
        <f t="shared" si="14"/>
        <v>148.70269099999999</v>
      </c>
      <c r="J7" s="19">
        <f t="shared" ref="J7:L7" si="15">J5-J6</f>
        <v>142.64450399999998</v>
      </c>
      <c r="K7" s="19">
        <f t="shared" si="15"/>
        <v>136.58631699999998</v>
      </c>
      <c r="L7" s="19">
        <f t="shared" si="15"/>
        <v>130.52812999999998</v>
      </c>
      <c r="O7" s="6" t="s">
        <v>48</v>
      </c>
      <c r="P7" s="19">
        <f t="shared" ref="P7:V7" si="16">P5-P6</f>
        <v>171.99900000000002</v>
      </c>
      <c r="Q7" s="19">
        <f t="shared" si="16"/>
        <v>154.79910000000001</v>
      </c>
      <c r="R7" s="19">
        <f t="shared" si="16"/>
        <v>139.31919000000002</v>
      </c>
      <c r="S7" s="19">
        <f t="shared" si="16"/>
        <v>125.38727100000001</v>
      </c>
      <c r="T7" s="19">
        <f t="shared" si="16"/>
        <v>112.84854390000001</v>
      </c>
      <c r="U7" s="19">
        <f t="shared" si="16"/>
        <v>101.56368951</v>
      </c>
      <c r="V7" s="19">
        <f t="shared" si="16"/>
        <v>91.407320558999999</v>
      </c>
      <c r="W7" s="19">
        <f t="shared" ref="W7:Y7" si="17">W5-W6</f>
        <v>82.266588503099996</v>
      </c>
      <c r="X7" s="19">
        <f t="shared" si="17"/>
        <v>74.039929652789993</v>
      </c>
      <c r="Y7" s="19">
        <f t="shared" si="17"/>
        <v>66.635936687510991</v>
      </c>
    </row>
    <row r="8" spans="2:25" x14ac:dyDescent="0.25">
      <c r="B8" s="6"/>
      <c r="C8" s="6"/>
      <c r="D8" s="6"/>
      <c r="E8" s="6"/>
      <c r="F8" s="6"/>
      <c r="G8" s="6"/>
      <c r="H8" s="6"/>
      <c r="I8" s="6"/>
      <c r="J8" s="6"/>
      <c r="K8" s="6"/>
      <c r="L8" s="6"/>
      <c r="O8" s="6"/>
      <c r="P8" s="6"/>
      <c r="Q8" s="19"/>
      <c r="R8" s="19"/>
      <c r="S8" s="19"/>
      <c r="T8" s="19"/>
      <c r="U8" s="6"/>
      <c r="V8" s="6"/>
      <c r="W8" s="6"/>
      <c r="X8" s="6"/>
      <c r="Y8" s="6"/>
    </row>
    <row r="9" spans="2:25" x14ac:dyDescent="0.25">
      <c r="B9" s="20" t="s">
        <v>49</v>
      </c>
      <c r="C9" s="6"/>
      <c r="D9" s="6"/>
      <c r="E9" s="6"/>
      <c r="F9" s="6"/>
      <c r="G9" s="6"/>
      <c r="H9" s="6"/>
      <c r="I9" s="6"/>
      <c r="J9" s="6"/>
      <c r="K9" s="6"/>
      <c r="L9" s="6"/>
      <c r="O9" s="20" t="s">
        <v>49</v>
      </c>
      <c r="P9" s="6"/>
      <c r="Q9" s="19"/>
      <c r="R9" s="19"/>
      <c r="S9" s="19"/>
      <c r="T9" s="19"/>
      <c r="U9" s="6"/>
      <c r="V9" s="6"/>
      <c r="W9" s="6"/>
      <c r="X9" s="6"/>
      <c r="Y9" s="6"/>
    </row>
    <row r="10" spans="2:25" x14ac:dyDescent="0.25">
      <c r="B10" s="21" t="s">
        <v>50</v>
      </c>
      <c r="C10" s="19">
        <f>'Project Glance'!B8+'Project Glance'!B9+'Project Glance'!B11</f>
        <v>106.41999999999999</v>
      </c>
      <c r="D10" s="19">
        <f>C12</f>
        <v>99.683613999999992</v>
      </c>
      <c r="E10" s="19">
        <f t="shared" ref="E10:I10" si="18">D12</f>
        <v>92.947227999999996</v>
      </c>
      <c r="F10" s="19">
        <f t="shared" si="18"/>
        <v>86.210842</v>
      </c>
      <c r="G10" s="19">
        <f t="shared" si="18"/>
        <v>79.474456000000004</v>
      </c>
      <c r="H10" s="19">
        <f t="shared" si="18"/>
        <v>72.738070000000008</v>
      </c>
      <c r="I10" s="19">
        <f t="shared" si="18"/>
        <v>66.001684000000012</v>
      </c>
      <c r="J10" s="19">
        <f t="shared" ref="J10" si="19">I12</f>
        <v>59.265298000000016</v>
      </c>
      <c r="K10" s="19">
        <f t="shared" ref="K10" si="20">J12</f>
        <v>52.52891200000002</v>
      </c>
      <c r="L10" s="19">
        <f t="shared" ref="L10" si="21">K12</f>
        <v>45.792526000000024</v>
      </c>
      <c r="O10" s="21" t="s">
        <v>50</v>
      </c>
      <c r="P10" s="19">
        <f>C10</f>
        <v>106.41999999999999</v>
      </c>
      <c r="Q10" s="19">
        <f>P12</f>
        <v>90.456999999999994</v>
      </c>
      <c r="R10" s="19">
        <f t="shared" ref="R10:V10" si="22">Q12</f>
        <v>76.888449999999992</v>
      </c>
      <c r="S10" s="19">
        <f t="shared" si="22"/>
        <v>65.355182499999998</v>
      </c>
      <c r="T10" s="19">
        <f t="shared" si="22"/>
        <v>55.551905124999998</v>
      </c>
      <c r="U10" s="19">
        <f t="shared" si="22"/>
        <v>47.219119356249998</v>
      </c>
      <c r="V10" s="19">
        <f t="shared" si="22"/>
        <v>40.136251452812502</v>
      </c>
      <c r="W10" s="19">
        <f t="shared" ref="W10" si="23">V12</f>
        <v>34.115813734890629</v>
      </c>
      <c r="X10" s="19">
        <f t="shared" ref="X10" si="24">W12</f>
        <v>28.998441674657034</v>
      </c>
      <c r="Y10" s="19">
        <f t="shared" ref="Y10" si="25">X12</f>
        <v>24.648675423458478</v>
      </c>
    </row>
    <row r="11" spans="2:25" x14ac:dyDescent="0.25">
      <c r="B11" s="21" t="s">
        <v>51</v>
      </c>
      <c r="C11" s="19">
        <f>C10*6.33%</f>
        <v>6.7363859999999987</v>
      </c>
      <c r="D11" s="19">
        <f>C11</f>
        <v>6.7363859999999987</v>
      </c>
      <c r="E11" s="19">
        <f t="shared" ref="E11:I11" si="26">D11</f>
        <v>6.7363859999999987</v>
      </c>
      <c r="F11" s="19">
        <f t="shared" si="26"/>
        <v>6.7363859999999987</v>
      </c>
      <c r="G11" s="19">
        <f t="shared" si="26"/>
        <v>6.7363859999999987</v>
      </c>
      <c r="H11" s="19">
        <f t="shared" si="26"/>
        <v>6.7363859999999987</v>
      </c>
      <c r="I11" s="19">
        <f t="shared" si="26"/>
        <v>6.7363859999999987</v>
      </c>
      <c r="J11" s="19">
        <f t="shared" ref="J11" si="27">I11</f>
        <v>6.7363859999999987</v>
      </c>
      <c r="K11" s="19">
        <f t="shared" ref="K11" si="28">J11</f>
        <v>6.7363859999999987</v>
      </c>
      <c r="L11" s="19">
        <f t="shared" ref="L11" si="29">K11</f>
        <v>6.7363859999999987</v>
      </c>
      <c r="O11" s="21" t="s">
        <v>52</v>
      </c>
      <c r="P11" s="19">
        <f>P10*15%</f>
        <v>15.962999999999997</v>
      </c>
      <c r="Q11" s="19">
        <f t="shared" ref="Q11:V11" si="30">Q10*15%</f>
        <v>13.568549999999998</v>
      </c>
      <c r="R11" s="19">
        <f t="shared" si="30"/>
        <v>11.533267499999999</v>
      </c>
      <c r="S11" s="19">
        <f t="shared" si="30"/>
        <v>9.8032773749999986</v>
      </c>
      <c r="T11" s="19">
        <f t="shared" si="30"/>
        <v>8.33278576875</v>
      </c>
      <c r="U11" s="19">
        <f t="shared" si="30"/>
        <v>7.0828679034374993</v>
      </c>
      <c r="V11" s="19">
        <f t="shared" si="30"/>
        <v>6.0204377179218751</v>
      </c>
      <c r="W11" s="19">
        <f t="shared" ref="W11:Y11" si="31">W10*15%</f>
        <v>5.1173720602335946</v>
      </c>
      <c r="X11" s="19">
        <f t="shared" si="31"/>
        <v>4.3497662511985551</v>
      </c>
      <c r="Y11" s="19">
        <f t="shared" si="31"/>
        <v>3.6973013135187713</v>
      </c>
    </row>
    <row r="12" spans="2:25" x14ac:dyDescent="0.25">
      <c r="B12" s="6" t="s">
        <v>48</v>
      </c>
      <c r="C12" s="19">
        <f>C10-C11</f>
        <v>99.683613999999992</v>
      </c>
      <c r="D12" s="19">
        <f t="shared" ref="D12:I12" si="32">D10-D11</f>
        <v>92.947227999999996</v>
      </c>
      <c r="E12" s="19">
        <f t="shared" si="32"/>
        <v>86.210842</v>
      </c>
      <c r="F12" s="19">
        <f t="shared" si="32"/>
        <v>79.474456000000004</v>
      </c>
      <c r="G12" s="19">
        <f t="shared" si="32"/>
        <v>72.738070000000008</v>
      </c>
      <c r="H12" s="19">
        <f t="shared" si="32"/>
        <v>66.001684000000012</v>
      </c>
      <c r="I12" s="19">
        <f t="shared" si="32"/>
        <v>59.265298000000016</v>
      </c>
      <c r="J12" s="19">
        <f t="shared" ref="J12:L12" si="33">J10-J11</f>
        <v>52.52891200000002</v>
      </c>
      <c r="K12" s="19">
        <f t="shared" si="33"/>
        <v>45.792526000000024</v>
      </c>
      <c r="L12" s="19">
        <f t="shared" si="33"/>
        <v>39.056140000000028</v>
      </c>
      <c r="O12" s="6" t="s">
        <v>48</v>
      </c>
      <c r="P12" s="19">
        <f t="shared" ref="P12:V12" si="34">P10-P11</f>
        <v>90.456999999999994</v>
      </c>
      <c r="Q12" s="19">
        <f t="shared" si="34"/>
        <v>76.888449999999992</v>
      </c>
      <c r="R12" s="19">
        <f t="shared" si="34"/>
        <v>65.355182499999998</v>
      </c>
      <c r="S12" s="19">
        <f t="shared" si="34"/>
        <v>55.551905124999998</v>
      </c>
      <c r="T12" s="19">
        <f t="shared" si="34"/>
        <v>47.219119356249998</v>
      </c>
      <c r="U12" s="19">
        <f t="shared" si="34"/>
        <v>40.136251452812502</v>
      </c>
      <c r="V12" s="19">
        <f t="shared" si="34"/>
        <v>34.115813734890629</v>
      </c>
      <c r="W12" s="19">
        <f t="shared" ref="W12:Y12" si="35">W10-W11</f>
        <v>28.998441674657034</v>
      </c>
      <c r="X12" s="19">
        <f t="shared" si="35"/>
        <v>24.648675423458478</v>
      </c>
      <c r="Y12" s="19">
        <f t="shared" si="35"/>
        <v>20.951374109939707</v>
      </c>
    </row>
    <row r="13" spans="2:25" hidden="1" x14ac:dyDescent="0.25">
      <c r="B13" s="6"/>
      <c r="C13" s="19"/>
      <c r="D13" s="19"/>
      <c r="E13" s="19"/>
      <c r="F13" s="19"/>
      <c r="G13" s="19"/>
      <c r="H13" s="19"/>
      <c r="I13" s="6"/>
      <c r="J13" s="6"/>
      <c r="K13" s="6"/>
      <c r="L13" s="6"/>
      <c r="O13" s="6"/>
      <c r="P13" s="19"/>
      <c r="Q13" s="19"/>
      <c r="R13" s="19"/>
      <c r="S13" s="19"/>
      <c r="T13" s="19"/>
      <c r="U13" s="6"/>
      <c r="V13" s="6"/>
      <c r="W13" s="6"/>
      <c r="X13" s="6"/>
      <c r="Y13" s="6"/>
    </row>
    <row r="14" spans="2:25" hidden="1" x14ac:dyDescent="0.25">
      <c r="B14" s="20" t="s">
        <v>53</v>
      </c>
      <c r="C14" s="19"/>
      <c r="D14" s="19"/>
      <c r="E14" s="19"/>
      <c r="F14" s="19"/>
      <c r="G14" s="19"/>
      <c r="H14" s="19"/>
      <c r="I14" s="6"/>
      <c r="J14" s="6"/>
      <c r="K14" s="6"/>
      <c r="L14" s="6"/>
      <c r="O14" s="20" t="s">
        <v>53</v>
      </c>
      <c r="P14" s="19"/>
      <c r="Q14" s="19"/>
      <c r="R14" s="19"/>
      <c r="S14" s="19"/>
      <c r="T14" s="19"/>
      <c r="U14" s="6"/>
      <c r="V14" s="6"/>
      <c r="W14" s="6"/>
      <c r="X14" s="6"/>
      <c r="Y14" s="6"/>
    </row>
    <row r="15" spans="2:25" hidden="1" x14ac:dyDescent="0.25">
      <c r="B15" s="21" t="s">
        <v>50</v>
      </c>
      <c r="C15" s="9">
        <v>0</v>
      </c>
      <c r="D15" s="9">
        <f>C17</f>
        <v>0</v>
      </c>
      <c r="E15" s="9">
        <f t="shared" ref="E15:I15" si="36">D17</f>
        <v>0</v>
      </c>
      <c r="F15" s="9">
        <f t="shared" si="36"/>
        <v>0</v>
      </c>
      <c r="G15" s="9">
        <f t="shared" si="36"/>
        <v>0</v>
      </c>
      <c r="H15" s="9">
        <f t="shared" si="36"/>
        <v>0</v>
      </c>
      <c r="I15" s="9">
        <f t="shared" si="36"/>
        <v>0</v>
      </c>
      <c r="J15" s="9">
        <f t="shared" ref="J15" si="37">I17</f>
        <v>0</v>
      </c>
      <c r="K15" s="9">
        <f t="shared" ref="K15" si="38">J17</f>
        <v>0</v>
      </c>
      <c r="L15" s="9">
        <f t="shared" ref="L15" si="39">K17</f>
        <v>0</v>
      </c>
      <c r="O15" s="21" t="s">
        <v>50</v>
      </c>
      <c r="P15" s="9">
        <f>C15</f>
        <v>0</v>
      </c>
      <c r="Q15" s="9">
        <f>P17</f>
        <v>0</v>
      </c>
      <c r="R15" s="9">
        <f t="shared" ref="R15:V15" si="40">Q17</f>
        <v>0</v>
      </c>
      <c r="S15" s="9">
        <f t="shared" si="40"/>
        <v>0</v>
      </c>
      <c r="T15" s="9">
        <f t="shared" si="40"/>
        <v>0</v>
      </c>
      <c r="U15" s="9">
        <f t="shared" si="40"/>
        <v>0</v>
      </c>
      <c r="V15" s="9">
        <f t="shared" si="40"/>
        <v>0</v>
      </c>
      <c r="W15" s="9">
        <f t="shared" ref="W15" si="41">V17</f>
        <v>0</v>
      </c>
      <c r="X15" s="9">
        <f t="shared" ref="X15" si="42">W17</f>
        <v>0</v>
      </c>
      <c r="Y15" s="9">
        <f t="shared" ref="Y15" si="43">X17</f>
        <v>0</v>
      </c>
    </row>
    <row r="16" spans="2:25" hidden="1" x14ac:dyDescent="0.25">
      <c r="B16" s="21" t="s">
        <v>54</v>
      </c>
      <c r="C16" s="9">
        <f>C15*7.88%</f>
        <v>0</v>
      </c>
      <c r="D16" s="9">
        <f>C16</f>
        <v>0</v>
      </c>
      <c r="E16" s="9">
        <f t="shared" ref="E16:I16" si="44">D16</f>
        <v>0</v>
      </c>
      <c r="F16" s="9">
        <f t="shared" si="44"/>
        <v>0</v>
      </c>
      <c r="G16" s="9">
        <f t="shared" si="44"/>
        <v>0</v>
      </c>
      <c r="H16" s="9">
        <f t="shared" si="44"/>
        <v>0</v>
      </c>
      <c r="I16" s="9">
        <f t="shared" si="44"/>
        <v>0</v>
      </c>
      <c r="J16" s="9">
        <f t="shared" ref="J16" si="45">I16</f>
        <v>0</v>
      </c>
      <c r="K16" s="9">
        <f t="shared" ref="K16" si="46">J16</f>
        <v>0</v>
      </c>
      <c r="L16" s="9">
        <f t="shared" ref="L16" si="47">K16</f>
        <v>0</v>
      </c>
      <c r="O16" s="21" t="s">
        <v>55</v>
      </c>
      <c r="P16" s="9">
        <f>P15*30%</f>
        <v>0</v>
      </c>
      <c r="Q16" s="9">
        <f>Q15*30%</f>
        <v>0</v>
      </c>
      <c r="R16" s="9">
        <f>R15*30%</f>
        <v>0</v>
      </c>
      <c r="S16" s="9">
        <f>S15*30%</f>
        <v>0</v>
      </c>
      <c r="T16" s="9">
        <f>T15*30%</f>
        <v>0</v>
      </c>
      <c r="U16" s="9">
        <f t="shared" ref="U16:V16" si="48">U15*30%</f>
        <v>0</v>
      </c>
      <c r="V16" s="9">
        <f t="shared" si="48"/>
        <v>0</v>
      </c>
      <c r="W16" s="9">
        <f t="shared" ref="W16:Y16" si="49">W15*30%</f>
        <v>0</v>
      </c>
      <c r="X16" s="9">
        <f t="shared" si="49"/>
        <v>0</v>
      </c>
      <c r="Y16" s="9">
        <f t="shared" si="49"/>
        <v>0</v>
      </c>
    </row>
    <row r="17" spans="2:25" hidden="1" x14ac:dyDescent="0.25">
      <c r="B17" s="6" t="s">
        <v>48</v>
      </c>
      <c r="C17" s="9">
        <f t="shared" ref="C17:I17" si="50">C15-C16</f>
        <v>0</v>
      </c>
      <c r="D17" s="9">
        <f t="shared" si="50"/>
        <v>0</v>
      </c>
      <c r="E17" s="9">
        <f t="shared" si="50"/>
        <v>0</v>
      </c>
      <c r="F17" s="9">
        <f t="shared" si="50"/>
        <v>0</v>
      </c>
      <c r="G17" s="9">
        <f t="shared" si="50"/>
        <v>0</v>
      </c>
      <c r="H17" s="9">
        <f t="shared" si="50"/>
        <v>0</v>
      </c>
      <c r="I17" s="9">
        <f t="shared" si="50"/>
        <v>0</v>
      </c>
      <c r="J17" s="9">
        <f t="shared" ref="J17:L17" si="51">J15-J16</f>
        <v>0</v>
      </c>
      <c r="K17" s="9">
        <f t="shared" si="51"/>
        <v>0</v>
      </c>
      <c r="L17" s="9">
        <f t="shared" si="51"/>
        <v>0</v>
      </c>
      <c r="O17" s="6" t="s">
        <v>48</v>
      </c>
      <c r="P17" s="9">
        <f t="shared" ref="P17:V17" si="52">P15-P16</f>
        <v>0</v>
      </c>
      <c r="Q17" s="9">
        <f t="shared" si="52"/>
        <v>0</v>
      </c>
      <c r="R17" s="9">
        <f t="shared" si="52"/>
        <v>0</v>
      </c>
      <c r="S17" s="9">
        <f t="shared" si="52"/>
        <v>0</v>
      </c>
      <c r="T17" s="9">
        <f t="shared" si="52"/>
        <v>0</v>
      </c>
      <c r="U17" s="9">
        <f t="shared" si="52"/>
        <v>0</v>
      </c>
      <c r="V17" s="9">
        <f t="shared" si="52"/>
        <v>0</v>
      </c>
      <c r="W17" s="9">
        <f t="shared" ref="W17:Y17" si="53">W15-W16</f>
        <v>0</v>
      </c>
      <c r="X17" s="9">
        <f t="shared" si="53"/>
        <v>0</v>
      </c>
      <c r="Y17" s="9">
        <f t="shared" si="53"/>
        <v>0</v>
      </c>
    </row>
    <row r="18" spans="2:25" x14ac:dyDescent="0.25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2:25" x14ac:dyDescent="0.25">
      <c r="B19" s="20" t="s">
        <v>56</v>
      </c>
      <c r="C19" s="22">
        <f>C5+C10+C15</f>
        <v>297.52999999999997</v>
      </c>
      <c r="D19" s="22">
        <f t="shared" ref="D19:I21" si="54">D5+D10+D15</f>
        <v>284.73542700000002</v>
      </c>
      <c r="E19" s="22">
        <f t="shared" si="54"/>
        <v>271.940854</v>
      </c>
      <c r="F19" s="22">
        <f t="shared" si="54"/>
        <v>259.14628099999999</v>
      </c>
      <c r="G19" s="22">
        <f t="shared" si="54"/>
        <v>246.351708</v>
      </c>
      <c r="H19" s="22">
        <f t="shared" si="54"/>
        <v>233.55713500000002</v>
      </c>
      <c r="I19" s="22">
        <f t="shared" si="54"/>
        <v>220.762562</v>
      </c>
      <c r="J19" s="22">
        <f t="shared" ref="J19:L19" si="55">J5+J10+J15</f>
        <v>207.96798899999999</v>
      </c>
      <c r="K19" s="22">
        <f t="shared" si="55"/>
        <v>195.173416</v>
      </c>
      <c r="L19" s="22">
        <f t="shared" si="55"/>
        <v>182.37884300000002</v>
      </c>
      <c r="O19" s="20" t="s">
        <v>56</v>
      </c>
      <c r="P19" s="22">
        <f>P5+P10+P15</f>
        <v>297.52999999999997</v>
      </c>
      <c r="Q19" s="22">
        <f t="shared" ref="Q19:V21" si="56">Q5+Q10+Q15</f>
        <v>262.45600000000002</v>
      </c>
      <c r="R19" s="22">
        <f t="shared" si="56"/>
        <v>231.68754999999999</v>
      </c>
      <c r="S19" s="22">
        <f t="shared" si="56"/>
        <v>204.6743725</v>
      </c>
      <c r="T19" s="22">
        <f t="shared" si="56"/>
        <v>180.93917612500002</v>
      </c>
      <c r="U19" s="22">
        <f t="shared" si="56"/>
        <v>160.06766325625</v>
      </c>
      <c r="V19" s="22">
        <f t="shared" si="56"/>
        <v>141.69994096281249</v>
      </c>
      <c r="W19" s="22">
        <f t="shared" ref="W19:Y19" si="57">W5+W10+W15</f>
        <v>125.52313429389062</v>
      </c>
      <c r="X19" s="22">
        <f t="shared" si="57"/>
        <v>111.26503017775703</v>
      </c>
      <c r="Y19" s="22">
        <f t="shared" si="57"/>
        <v>98.688605076248479</v>
      </c>
    </row>
    <row r="20" spans="2:25" x14ac:dyDescent="0.25">
      <c r="B20" s="20" t="s">
        <v>57</v>
      </c>
      <c r="C20" s="22">
        <f t="shared" ref="C20:G21" si="58">C6+C11+C16</f>
        <v>12.794573</v>
      </c>
      <c r="D20" s="22">
        <f t="shared" si="58"/>
        <v>12.794573</v>
      </c>
      <c r="E20" s="22">
        <f t="shared" si="58"/>
        <v>12.794573</v>
      </c>
      <c r="F20" s="22">
        <f t="shared" si="58"/>
        <v>12.794573</v>
      </c>
      <c r="G20" s="22">
        <f t="shared" si="58"/>
        <v>12.794573</v>
      </c>
      <c r="H20" s="22">
        <f t="shared" si="54"/>
        <v>12.794573</v>
      </c>
      <c r="I20" s="22">
        <f t="shared" si="54"/>
        <v>12.794573</v>
      </c>
      <c r="J20" s="22">
        <f t="shared" ref="J20:L20" si="59">J6+J11+J16</f>
        <v>12.794573</v>
      </c>
      <c r="K20" s="22">
        <f t="shared" si="59"/>
        <v>12.794573</v>
      </c>
      <c r="L20" s="22">
        <f t="shared" si="59"/>
        <v>12.794573</v>
      </c>
      <c r="O20" s="20" t="s">
        <v>57</v>
      </c>
      <c r="P20" s="22">
        <f t="shared" ref="P20:T21" si="60">P6+P11+P16</f>
        <v>35.073999999999998</v>
      </c>
      <c r="Q20" s="22">
        <f t="shared" si="60"/>
        <v>30.768450000000001</v>
      </c>
      <c r="R20" s="22">
        <f t="shared" si="60"/>
        <v>27.013177500000001</v>
      </c>
      <c r="S20" s="22">
        <f t="shared" si="60"/>
        <v>23.735196375000001</v>
      </c>
      <c r="T20" s="22">
        <f t="shared" si="60"/>
        <v>20.871512868750003</v>
      </c>
      <c r="U20" s="22">
        <f t="shared" si="56"/>
        <v>18.367722293437502</v>
      </c>
      <c r="V20" s="22">
        <f t="shared" si="56"/>
        <v>16.176806668921877</v>
      </c>
      <c r="W20" s="22">
        <f t="shared" ref="W20:Y20" si="61">W6+W11+W16</f>
        <v>14.258104116133595</v>
      </c>
      <c r="X20" s="22">
        <f t="shared" si="61"/>
        <v>12.576425101508555</v>
      </c>
      <c r="Y20" s="22">
        <f t="shared" si="61"/>
        <v>11.10129427879777</v>
      </c>
    </row>
    <row r="21" spans="2:25" x14ac:dyDescent="0.25">
      <c r="B21" s="8" t="s">
        <v>48</v>
      </c>
      <c r="C21" s="22">
        <f t="shared" si="58"/>
        <v>284.73542700000002</v>
      </c>
      <c r="D21" s="22">
        <f t="shared" si="58"/>
        <v>271.940854</v>
      </c>
      <c r="E21" s="22">
        <f t="shared" si="58"/>
        <v>259.14628099999999</v>
      </c>
      <c r="F21" s="22">
        <f t="shared" si="58"/>
        <v>246.351708</v>
      </c>
      <c r="G21" s="22">
        <f t="shared" si="58"/>
        <v>233.55713500000002</v>
      </c>
      <c r="H21" s="22">
        <f t="shared" si="54"/>
        <v>220.762562</v>
      </c>
      <c r="I21" s="22">
        <f t="shared" si="54"/>
        <v>207.96798899999999</v>
      </c>
      <c r="J21" s="22">
        <f t="shared" ref="J21:L21" si="62">J7+J12+J17</f>
        <v>195.173416</v>
      </c>
      <c r="K21" s="22">
        <f t="shared" si="62"/>
        <v>182.37884300000002</v>
      </c>
      <c r="L21" s="22">
        <f t="shared" si="62"/>
        <v>169.58427</v>
      </c>
      <c r="O21" s="8" t="s">
        <v>48</v>
      </c>
      <c r="P21" s="22">
        <f t="shared" si="60"/>
        <v>262.45600000000002</v>
      </c>
      <c r="Q21" s="22">
        <f t="shared" si="60"/>
        <v>231.68754999999999</v>
      </c>
      <c r="R21" s="22">
        <f t="shared" si="60"/>
        <v>204.6743725</v>
      </c>
      <c r="S21" s="22">
        <f t="shared" si="60"/>
        <v>180.93917612500002</v>
      </c>
      <c r="T21" s="22">
        <f t="shared" si="60"/>
        <v>160.06766325625</v>
      </c>
      <c r="U21" s="22">
        <f t="shared" si="56"/>
        <v>141.69994096281249</v>
      </c>
      <c r="V21" s="22">
        <f t="shared" si="56"/>
        <v>125.52313429389062</v>
      </c>
      <c r="W21" s="22">
        <f t="shared" ref="W21:Y21" si="63">W7+W12+W17</f>
        <v>111.26503017775703</v>
      </c>
      <c r="X21" s="22">
        <f t="shared" si="63"/>
        <v>98.688605076248479</v>
      </c>
      <c r="Y21" s="22">
        <f t="shared" si="63"/>
        <v>87.587310797450698</v>
      </c>
    </row>
    <row r="22" spans="2:25" x14ac:dyDescent="0.25">
      <c r="B22" s="23"/>
      <c r="C22" s="23"/>
      <c r="D22" s="23"/>
      <c r="E22" s="23"/>
      <c r="F22" s="23"/>
      <c r="G22" s="23"/>
      <c r="H22" s="23"/>
    </row>
    <row r="23" spans="2:25" x14ac:dyDescent="0.25">
      <c r="C23" s="25"/>
    </row>
    <row r="24" spans="2:25" x14ac:dyDescent="0.25">
      <c r="B24" s="1" t="s">
        <v>58</v>
      </c>
      <c r="C24" s="25"/>
    </row>
  </sheetData>
  <mergeCells count="2">
    <mergeCell ref="B2:L2"/>
    <mergeCell ref="O2:Y2"/>
  </mergeCells>
  <pageMargins left="0.7" right="0.7" top="0.75" bottom="0.75" header="0.3" footer="0.3"/>
  <pageSetup scale="3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view="pageBreakPreview" topLeftCell="A14" zoomScale="80" zoomScaleNormal="100" zoomScaleSheetLayoutView="80" workbookViewId="0">
      <selection activeCell="B17" sqref="B17"/>
    </sheetView>
  </sheetViews>
  <sheetFormatPr defaultRowHeight="15" x14ac:dyDescent="0.25"/>
  <cols>
    <col min="1" max="1" width="42.140625" style="1" bestFit="1" customWidth="1"/>
    <col min="2" max="7" width="10.140625" style="1" bestFit="1" customWidth="1"/>
    <col min="8" max="8" width="10" style="1" bestFit="1" customWidth="1"/>
    <col min="9" max="11" width="10" style="1" customWidth="1"/>
    <col min="12" max="12" width="9.140625" style="1"/>
    <col min="13" max="13" width="11" style="1" bestFit="1" customWidth="1"/>
    <col min="14" max="14" width="10" style="1" bestFit="1" customWidth="1"/>
    <col min="15" max="15" width="9.140625" style="1"/>
    <col min="16" max="16" width="21.28515625" style="1" customWidth="1"/>
    <col min="17" max="17" width="21.140625" style="1" customWidth="1"/>
    <col min="18" max="16384" width="9.140625" style="1"/>
  </cols>
  <sheetData>
    <row r="1" spans="1:15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39" t="s">
        <v>42</v>
      </c>
      <c r="I1" s="219" t="s">
        <v>494</v>
      </c>
      <c r="J1" s="219" t="s">
        <v>495</v>
      </c>
      <c r="K1" s="219" t="s">
        <v>496</v>
      </c>
    </row>
    <row r="2" spans="1:15" x14ac:dyDescent="0.25">
      <c r="A2" s="28"/>
      <c r="B2" s="29"/>
      <c r="C2" s="29"/>
      <c r="D2" s="29"/>
      <c r="E2" s="29"/>
      <c r="F2" s="29"/>
      <c r="G2" s="29"/>
      <c r="H2" s="29"/>
      <c r="I2" s="217"/>
      <c r="J2" s="217"/>
      <c r="K2" s="217"/>
    </row>
    <row r="3" spans="1:15" x14ac:dyDescent="0.25">
      <c r="A3" s="30" t="s">
        <v>633</v>
      </c>
      <c r="B3" s="27"/>
      <c r="C3" s="27"/>
      <c r="D3" s="27"/>
      <c r="E3" s="27"/>
      <c r="F3" s="27"/>
      <c r="G3" s="27"/>
      <c r="H3" s="27"/>
      <c r="I3" s="217"/>
      <c r="J3" s="217"/>
      <c r="K3" s="217"/>
    </row>
    <row r="4" spans="1:15" x14ac:dyDescent="0.25">
      <c r="A4" s="26" t="s">
        <v>59</v>
      </c>
      <c r="B4" s="330" t="s">
        <v>674</v>
      </c>
      <c r="C4" s="331"/>
      <c r="D4" s="331"/>
      <c r="E4" s="331"/>
      <c r="F4" s="331"/>
      <c r="G4" s="331"/>
      <c r="H4" s="331"/>
      <c r="I4" s="331"/>
      <c r="J4" s="331"/>
      <c r="K4" s="332"/>
      <c r="M4" s="1" t="s">
        <v>649</v>
      </c>
      <c r="N4" s="1" t="s">
        <v>650</v>
      </c>
    </row>
    <row r="5" spans="1:15" x14ac:dyDescent="0.25">
      <c r="A5" s="26" t="s">
        <v>60</v>
      </c>
      <c r="B5" s="31">
        <f>4*10*250</f>
        <v>10000</v>
      </c>
      <c r="C5" s="31">
        <f>+B5</f>
        <v>10000</v>
      </c>
      <c r="D5" s="31">
        <f t="shared" ref="D5:K5" si="0">+C5</f>
        <v>10000</v>
      </c>
      <c r="E5" s="31">
        <f t="shared" si="0"/>
        <v>10000</v>
      </c>
      <c r="F5" s="31">
        <f t="shared" si="0"/>
        <v>10000</v>
      </c>
      <c r="G5" s="31">
        <f t="shared" si="0"/>
        <v>10000</v>
      </c>
      <c r="H5" s="31">
        <f t="shared" si="0"/>
        <v>10000</v>
      </c>
      <c r="I5" s="31">
        <f t="shared" si="0"/>
        <v>10000</v>
      </c>
      <c r="J5" s="31">
        <f t="shared" si="0"/>
        <v>10000</v>
      </c>
      <c r="K5" s="31">
        <f t="shared" si="0"/>
        <v>10000</v>
      </c>
    </row>
    <row r="6" spans="1:15" x14ac:dyDescent="0.25">
      <c r="A6" s="26" t="s">
        <v>640</v>
      </c>
      <c r="B6" s="31">
        <f>B5*0.9</f>
        <v>9000</v>
      </c>
      <c r="C6" s="31">
        <f t="shared" ref="C6:K6" si="1">C5*0.9</f>
        <v>9000</v>
      </c>
      <c r="D6" s="31">
        <f t="shared" si="1"/>
        <v>9000</v>
      </c>
      <c r="E6" s="31">
        <f t="shared" si="1"/>
        <v>9000</v>
      </c>
      <c r="F6" s="31">
        <f t="shared" si="1"/>
        <v>9000</v>
      </c>
      <c r="G6" s="31">
        <f t="shared" si="1"/>
        <v>9000</v>
      </c>
      <c r="H6" s="31">
        <f t="shared" si="1"/>
        <v>9000</v>
      </c>
      <c r="I6" s="31">
        <f t="shared" si="1"/>
        <v>9000</v>
      </c>
      <c r="J6" s="31">
        <f t="shared" si="1"/>
        <v>9000</v>
      </c>
      <c r="K6" s="31">
        <f t="shared" si="1"/>
        <v>9000</v>
      </c>
    </row>
    <row r="7" spans="1:15" x14ac:dyDescent="0.25">
      <c r="A7" s="26" t="s">
        <v>641</v>
      </c>
      <c r="B7" s="31">
        <f>B5*0.1</f>
        <v>1000</v>
      </c>
      <c r="C7" s="31">
        <f t="shared" ref="C7:K7" si="2">C5*0.1</f>
        <v>1000</v>
      </c>
      <c r="D7" s="31">
        <f t="shared" si="2"/>
        <v>1000</v>
      </c>
      <c r="E7" s="31">
        <f t="shared" si="2"/>
        <v>1000</v>
      </c>
      <c r="F7" s="31">
        <f t="shared" si="2"/>
        <v>1000</v>
      </c>
      <c r="G7" s="31">
        <f t="shared" si="2"/>
        <v>1000</v>
      </c>
      <c r="H7" s="31">
        <f t="shared" si="2"/>
        <v>1000</v>
      </c>
      <c r="I7" s="31">
        <f t="shared" si="2"/>
        <v>1000</v>
      </c>
      <c r="J7" s="31">
        <f t="shared" si="2"/>
        <v>1000</v>
      </c>
      <c r="K7" s="31">
        <f t="shared" si="2"/>
        <v>1000</v>
      </c>
    </row>
    <row r="8" spans="1:15" x14ac:dyDescent="0.25">
      <c r="A8" s="26" t="s">
        <v>159</v>
      </c>
      <c r="B8" s="32">
        <v>0.5</v>
      </c>
      <c r="C8" s="281">
        <f>B8+5%</f>
        <v>0.55000000000000004</v>
      </c>
      <c r="D8" s="281">
        <f t="shared" ref="D8" si="3">C8+5%</f>
        <v>0.60000000000000009</v>
      </c>
      <c r="E8" s="281">
        <f t="shared" ref="E8:K8" si="4">D8+5%</f>
        <v>0.65000000000000013</v>
      </c>
      <c r="F8" s="281">
        <f t="shared" si="4"/>
        <v>0.70000000000000018</v>
      </c>
      <c r="G8" s="281">
        <f t="shared" si="4"/>
        <v>0.75000000000000022</v>
      </c>
      <c r="H8" s="281">
        <f t="shared" si="4"/>
        <v>0.80000000000000027</v>
      </c>
      <c r="I8" s="281">
        <f t="shared" si="4"/>
        <v>0.85000000000000031</v>
      </c>
      <c r="J8" s="281">
        <f t="shared" si="4"/>
        <v>0.90000000000000036</v>
      </c>
      <c r="K8" s="281">
        <f t="shared" si="4"/>
        <v>0.9500000000000004</v>
      </c>
    </row>
    <row r="9" spans="1:15" x14ac:dyDescent="0.25">
      <c r="A9" s="26" t="s">
        <v>160</v>
      </c>
      <c r="B9" s="32">
        <v>0.5</v>
      </c>
      <c r="C9" s="281">
        <f>B9+5%</f>
        <v>0.55000000000000004</v>
      </c>
      <c r="D9" s="281">
        <f t="shared" ref="D9" si="5">C9+5%</f>
        <v>0.60000000000000009</v>
      </c>
      <c r="E9" s="281">
        <f t="shared" ref="E9:K9" si="6">D9+5%</f>
        <v>0.65000000000000013</v>
      </c>
      <c r="F9" s="281">
        <f t="shared" si="6"/>
        <v>0.70000000000000018</v>
      </c>
      <c r="G9" s="281">
        <f t="shared" si="6"/>
        <v>0.75000000000000022</v>
      </c>
      <c r="H9" s="281">
        <f t="shared" si="6"/>
        <v>0.80000000000000027</v>
      </c>
      <c r="I9" s="281">
        <f t="shared" si="6"/>
        <v>0.85000000000000031</v>
      </c>
      <c r="J9" s="281">
        <f t="shared" si="6"/>
        <v>0.90000000000000036</v>
      </c>
      <c r="K9" s="281">
        <f t="shared" si="6"/>
        <v>0.9500000000000004</v>
      </c>
    </row>
    <row r="10" spans="1:15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5" x14ac:dyDescent="0.25">
      <c r="A11" s="8" t="s">
        <v>161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5" x14ac:dyDescent="0.25">
      <c r="A12" s="6" t="s">
        <v>618</v>
      </c>
      <c r="B12" s="6">
        <f>B6*B8</f>
        <v>4500</v>
      </c>
      <c r="C12" s="6">
        <f t="shared" ref="C12:K12" si="7">C6*C8</f>
        <v>4950</v>
      </c>
      <c r="D12" s="6">
        <f t="shared" si="7"/>
        <v>5400.0000000000009</v>
      </c>
      <c r="E12" s="6">
        <f t="shared" si="7"/>
        <v>5850.0000000000009</v>
      </c>
      <c r="F12" s="6">
        <f t="shared" si="7"/>
        <v>6300.0000000000018</v>
      </c>
      <c r="G12" s="6">
        <f t="shared" si="7"/>
        <v>6750.0000000000018</v>
      </c>
      <c r="H12" s="6">
        <f t="shared" si="7"/>
        <v>7200.0000000000027</v>
      </c>
      <c r="I12" s="6">
        <f t="shared" si="7"/>
        <v>7650.0000000000027</v>
      </c>
      <c r="J12" s="6">
        <f t="shared" si="7"/>
        <v>8100.0000000000036</v>
      </c>
      <c r="K12" s="6">
        <f t="shared" si="7"/>
        <v>8550.0000000000036</v>
      </c>
    </row>
    <row r="13" spans="1:15" x14ac:dyDescent="0.25">
      <c r="A13" s="33" t="s">
        <v>61</v>
      </c>
      <c r="B13" s="290">
        <v>1100</v>
      </c>
      <c r="C13" s="291">
        <f t="shared" ref="C13:H13" si="8">ROUND(B13*1.05,0)</f>
        <v>1155</v>
      </c>
      <c r="D13" s="291">
        <f t="shared" si="8"/>
        <v>1213</v>
      </c>
      <c r="E13" s="291">
        <f t="shared" si="8"/>
        <v>1274</v>
      </c>
      <c r="F13" s="291">
        <f t="shared" si="8"/>
        <v>1338</v>
      </c>
      <c r="G13" s="291">
        <f t="shared" si="8"/>
        <v>1405</v>
      </c>
      <c r="H13" s="291">
        <f t="shared" si="8"/>
        <v>1475</v>
      </c>
      <c r="I13" s="291">
        <f t="shared" ref="I13" si="9">ROUND(H13*1.05,0)</f>
        <v>1549</v>
      </c>
      <c r="J13" s="291">
        <f t="shared" ref="J13" si="10">ROUND(I13*1.05,0)</f>
        <v>1626</v>
      </c>
      <c r="K13" s="291">
        <f t="shared" ref="K13" si="11">ROUND(J13*1.05,0)</f>
        <v>1707</v>
      </c>
      <c r="M13" s="25"/>
    </row>
    <row r="14" spans="1:15" x14ac:dyDescent="0.25">
      <c r="A14" s="34" t="s">
        <v>73</v>
      </c>
      <c r="B14" s="35">
        <f>B12*B13/100000</f>
        <v>49.5</v>
      </c>
      <c r="C14" s="35">
        <f t="shared" ref="C14:K14" si="12">C12*C13/100000</f>
        <v>57.172499999999999</v>
      </c>
      <c r="D14" s="35">
        <f t="shared" si="12"/>
        <v>65.50200000000001</v>
      </c>
      <c r="E14" s="35">
        <f t="shared" si="12"/>
        <v>74.529000000000011</v>
      </c>
      <c r="F14" s="35">
        <f t="shared" si="12"/>
        <v>84.294000000000025</v>
      </c>
      <c r="G14" s="35">
        <f t="shared" si="12"/>
        <v>94.83750000000002</v>
      </c>
      <c r="H14" s="35">
        <f t="shared" si="12"/>
        <v>106.20000000000003</v>
      </c>
      <c r="I14" s="35">
        <f t="shared" si="12"/>
        <v>118.49850000000004</v>
      </c>
      <c r="J14" s="35">
        <f t="shared" si="12"/>
        <v>131.70600000000005</v>
      </c>
      <c r="K14" s="35">
        <f t="shared" si="12"/>
        <v>145.94850000000005</v>
      </c>
      <c r="O14" s="1">
        <f>375000</f>
        <v>375000</v>
      </c>
    </row>
    <row r="15" spans="1:15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O15" s="1">
        <f>O14/25</f>
        <v>15000</v>
      </c>
    </row>
    <row r="16" spans="1:15" x14ac:dyDescent="0.25">
      <c r="A16" s="34" t="s">
        <v>162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6" x14ac:dyDescent="0.25">
      <c r="A17" s="6" t="s">
        <v>618</v>
      </c>
      <c r="B17" s="6">
        <f>B7*B9</f>
        <v>500</v>
      </c>
      <c r="C17" s="6">
        <f t="shared" ref="C17:K17" si="13">C7*C9</f>
        <v>550</v>
      </c>
      <c r="D17" s="6">
        <f t="shared" si="13"/>
        <v>600.00000000000011</v>
      </c>
      <c r="E17" s="6">
        <f t="shared" si="13"/>
        <v>650.00000000000011</v>
      </c>
      <c r="F17" s="6">
        <f t="shared" si="13"/>
        <v>700.00000000000023</v>
      </c>
      <c r="G17" s="6">
        <f t="shared" si="13"/>
        <v>750.00000000000023</v>
      </c>
      <c r="H17" s="6">
        <f t="shared" si="13"/>
        <v>800.00000000000023</v>
      </c>
      <c r="I17" s="6">
        <f t="shared" si="13"/>
        <v>850.00000000000034</v>
      </c>
      <c r="J17" s="6">
        <f t="shared" si="13"/>
        <v>900.00000000000034</v>
      </c>
      <c r="K17" s="6">
        <f t="shared" si="13"/>
        <v>950.00000000000045</v>
      </c>
    </row>
    <row r="18" spans="1:1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6" hidden="1" x14ac:dyDescent="0.25">
      <c r="A19" s="8" t="s">
        <v>62</v>
      </c>
      <c r="B19" s="6"/>
      <c r="C19" s="6"/>
      <c r="D19" s="6"/>
      <c r="E19" s="6"/>
      <c r="F19" s="6"/>
      <c r="G19" s="6"/>
      <c r="H19" s="6"/>
      <c r="I19" s="6"/>
      <c r="J19" s="6"/>
      <c r="K19" s="6"/>
      <c r="P19" s="4"/>
    </row>
    <row r="20" spans="1:16" hidden="1" x14ac:dyDescent="0.25">
      <c r="A20" s="36" t="s">
        <v>646</v>
      </c>
      <c r="B20" s="37">
        <f>B17*$L$20</f>
        <v>250</v>
      </c>
      <c r="C20" s="37">
        <f t="shared" ref="C20:K20" si="14">C17*$L$20</f>
        <v>275</v>
      </c>
      <c r="D20" s="37">
        <f t="shared" si="14"/>
        <v>300.00000000000006</v>
      </c>
      <c r="E20" s="37">
        <f t="shared" si="14"/>
        <v>325.00000000000006</v>
      </c>
      <c r="F20" s="37">
        <f t="shared" si="14"/>
        <v>350.00000000000011</v>
      </c>
      <c r="G20" s="37">
        <f t="shared" si="14"/>
        <v>375.00000000000011</v>
      </c>
      <c r="H20" s="37">
        <f t="shared" si="14"/>
        <v>400.00000000000011</v>
      </c>
      <c r="I20" s="37">
        <f t="shared" si="14"/>
        <v>425.00000000000017</v>
      </c>
      <c r="J20" s="37">
        <f t="shared" si="14"/>
        <v>450.00000000000017</v>
      </c>
      <c r="K20" s="37">
        <f t="shared" si="14"/>
        <v>475.00000000000023</v>
      </c>
      <c r="L20" s="262">
        <v>0.5</v>
      </c>
    </row>
    <row r="21" spans="1:16" hidden="1" x14ac:dyDescent="0.25">
      <c r="A21" s="36" t="s">
        <v>620</v>
      </c>
      <c r="B21" s="37">
        <f>B17*$L$21</f>
        <v>100</v>
      </c>
      <c r="C21" s="37">
        <f t="shared" ref="C21:K21" si="15">C17*$L$21</f>
        <v>110</v>
      </c>
      <c r="D21" s="37">
        <f t="shared" si="15"/>
        <v>120.00000000000003</v>
      </c>
      <c r="E21" s="37">
        <f t="shared" si="15"/>
        <v>130.00000000000003</v>
      </c>
      <c r="F21" s="37">
        <f t="shared" si="15"/>
        <v>140.00000000000006</v>
      </c>
      <c r="G21" s="37">
        <f t="shared" si="15"/>
        <v>150.00000000000006</v>
      </c>
      <c r="H21" s="37">
        <f t="shared" si="15"/>
        <v>160.00000000000006</v>
      </c>
      <c r="I21" s="37">
        <f t="shared" si="15"/>
        <v>170.00000000000009</v>
      </c>
      <c r="J21" s="37">
        <f t="shared" si="15"/>
        <v>180.00000000000009</v>
      </c>
      <c r="K21" s="37">
        <f t="shared" si="15"/>
        <v>190.00000000000011</v>
      </c>
      <c r="L21" s="262">
        <v>0.2</v>
      </c>
    </row>
    <row r="22" spans="1:16" hidden="1" x14ac:dyDescent="0.25">
      <c r="A22" s="36" t="s">
        <v>561</v>
      </c>
      <c r="B22" s="37">
        <f>ROUND(B17*$L$22,0)</f>
        <v>100</v>
      </c>
      <c r="C22" s="37">
        <f t="shared" ref="C22:K22" si="16">ROUND(C17*$L$22,0)</f>
        <v>110</v>
      </c>
      <c r="D22" s="37">
        <f t="shared" si="16"/>
        <v>120</v>
      </c>
      <c r="E22" s="37">
        <f t="shared" si="16"/>
        <v>130</v>
      </c>
      <c r="F22" s="37">
        <f t="shared" si="16"/>
        <v>140</v>
      </c>
      <c r="G22" s="37">
        <f t="shared" si="16"/>
        <v>150</v>
      </c>
      <c r="H22" s="37">
        <f t="shared" si="16"/>
        <v>160</v>
      </c>
      <c r="I22" s="37">
        <f t="shared" si="16"/>
        <v>170</v>
      </c>
      <c r="J22" s="37">
        <f t="shared" si="16"/>
        <v>180</v>
      </c>
      <c r="K22" s="37">
        <f t="shared" si="16"/>
        <v>190</v>
      </c>
      <c r="L22" s="262">
        <v>0.2</v>
      </c>
    </row>
    <row r="23" spans="1:16" hidden="1" x14ac:dyDescent="0.25">
      <c r="A23" s="36" t="s">
        <v>621</v>
      </c>
      <c r="B23" s="37">
        <f>B17*$L$23</f>
        <v>40</v>
      </c>
      <c r="C23" s="37">
        <f t="shared" ref="C23:K23" si="17">C17*$L$23</f>
        <v>44</v>
      </c>
      <c r="D23" s="37">
        <f t="shared" si="17"/>
        <v>48.000000000000007</v>
      </c>
      <c r="E23" s="37">
        <f t="shared" si="17"/>
        <v>52.000000000000007</v>
      </c>
      <c r="F23" s="37">
        <f t="shared" si="17"/>
        <v>56.000000000000021</v>
      </c>
      <c r="G23" s="37">
        <f t="shared" si="17"/>
        <v>60.000000000000021</v>
      </c>
      <c r="H23" s="37">
        <f t="shared" si="17"/>
        <v>64.000000000000014</v>
      </c>
      <c r="I23" s="37">
        <f t="shared" si="17"/>
        <v>68.000000000000028</v>
      </c>
      <c r="J23" s="37">
        <f t="shared" si="17"/>
        <v>72.000000000000028</v>
      </c>
      <c r="K23" s="37">
        <f t="shared" si="17"/>
        <v>76.000000000000043</v>
      </c>
      <c r="L23" s="262">
        <v>0.08</v>
      </c>
    </row>
    <row r="24" spans="1:16" hidden="1" x14ac:dyDescent="0.25">
      <c r="A24" s="36" t="s">
        <v>63</v>
      </c>
      <c r="B24" s="37">
        <v>0</v>
      </c>
      <c r="C24" s="37">
        <f t="shared" ref="C24:H24" si="18">C12*$L$24</f>
        <v>0</v>
      </c>
      <c r="D24" s="37">
        <f t="shared" si="18"/>
        <v>0</v>
      </c>
      <c r="E24" s="37">
        <f t="shared" si="18"/>
        <v>0</v>
      </c>
      <c r="F24" s="37">
        <f t="shared" si="18"/>
        <v>0</v>
      </c>
      <c r="G24" s="37">
        <f t="shared" si="18"/>
        <v>0</v>
      </c>
      <c r="H24" s="37">
        <f t="shared" si="18"/>
        <v>0</v>
      </c>
      <c r="I24" s="37"/>
      <c r="J24" s="37"/>
      <c r="K24" s="37"/>
      <c r="L24" s="38">
        <v>0</v>
      </c>
    </row>
    <row r="25" spans="1:16" x14ac:dyDescent="0.2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8"/>
    </row>
    <row r="26" spans="1:16" x14ac:dyDescent="0.25">
      <c r="A26" s="8" t="s">
        <v>163</v>
      </c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6" x14ac:dyDescent="0.25">
      <c r="A27" s="36" t="str">
        <f>+A20</f>
        <v>Rice</v>
      </c>
      <c r="B27" s="37">
        <f t="shared" ref="B27:K27" si="19">ROUND(B17*$L$27,0)</f>
        <v>250</v>
      </c>
      <c r="C27" s="37">
        <f t="shared" si="19"/>
        <v>275</v>
      </c>
      <c r="D27" s="37">
        <f t="shared" si="19"/>
        <v>300</v>
      </c>
      <c r="E27" s="37">
        <f t="shared" si="19"/>
        <v>325</v>
      </c>
      <c r="F27" s="37">
        <f t="shared" si="19"/>
        <v>350</v>
      </c>
      <c r="G27" s="37">
        <f t="shared" si="19"/>
        <v>375</v>
      </c>
      <c r="H27" s="37">
        <f t="shared" si="19"/>
        <v>400</v>
      </c>
      <c r="I27" s="37">
        <f t="shared" si="19"/>
        <v>425</v>
      </c>
      <c r="J27" s="37">
        <f t="shared" si="19"/>
        <v>450</v>
      </c>
      <c r="K27" s="37">
        <f t="shared" si="19"/>
        <v>475</v>
      </c>
      <c r="L27" s="262">
        <v>0.5</v>
      </c>
      <c r="M27" s="25">
        <v>50000</v>
      </c>
      <c r="N27" s="25">
        <f>M27*L27</f>
        <v>25000</v>
      </c>
    </row>
    <row r="28" spans="1:16" x14ac:dyDescent="0.25">
      <c r="A28" s="36" t="str">
        <f>+A21</f>
        <v>Husk</v>
      </c>
      <c r="B28" s="37">
        <f t="shared" ref="B28:K28" si="20">ROUND(B17*$L$28,0)</f>
        <v>100</v>
      </c>
      <c r="C28" s="37">
        <f t="shared" si="20"/>
        <v>110</v>
      </c>
      <c r="D28" s="37">
        <f t="shared" si="20"/>
        <v>120</v>
      </c>
      <c r="E28" s="37">
        <f t="shared" si="20"/>
        <v>130</v>
      </c>
      <c r="F28" s="37">
        <f t="shared" si="20"/>
        <v>140</v>
      </c>
      <c r="G28" s="37">
        <f t="shared" si="20"/>
        <v>150</v>
      </c>
      <c r="H28" s="37">
        <f t="shared" si="20"/>
        <v>160</v>
      </c>
      <c r="I28" s="37">
        <f t="shared" si="20"/>
        <v>170</v>
      </c>
      <c r="J28" s="37">
        <f t="shared" si="20"/>
        <v>180</v>
      </c>
      <c r="K28" s="37">
        <f t="shared" si="20"/>
        <v>190</v>
      </c>
      <c r="L28" s="262">
        <v>0.2</v>
      </c>
      <c r="M28" s="25">
        <v>14000</v>
      </c>
      <c r="N28" s="25">
        <f t="shared" ref="N28:N30" si="21">M28*L28</f>
        <v>2800</v>
      </c>
    </row>
    <row r="29" spans="1:16" x14ac:dyDescent="0.25">
      <c r="A29" s="36" t="str">
        <f>+A22</f>
        <v>Broken</v>
      </c>
      <c r="B29" s="37">
        <f>ROUND(B17*$L$29,0)</f>
        <v>100</v>
      </c>
      <c r="C29" s="37">
        <f t="shared" ref="C29:K29" si="22">ROUND(C17*$L$29,0)</f>
        <v>110</v>
      </c>
      <c r="D29" s="37">
        <f t="shared" si="22"/>
        <v>120</v>
      </c>
      <c r="E29" s="37">
        <f t="shared" si="22"/>
        <v>130</v>
      </c>
      <c r="F29" s="37">
        <f t="shared" si="22"/>
        <v>140</v>
      </c>
      <c r="G29" s="37">
        <f t="shared" si="22"/>
        <v>150</v>
      </c>
      <c r="H29" s="37">
        <f t="shared" si="22"/>
        <v>160</v>
      </c>
      <c r="I29" s="37">
        <f t="shared" si="22"/>
        <v>170</v>
      </c>
      <c r="J29" s="37">
        <f t="shared" si="22"/>
        <v>180</v>
      </c>
      <c r="K29" s="37">
        <f t="shared" si="22"/>
        <v>190</v>
      </c>
      <c r="L29" s="262">
        <v>0.2</v>
      </c>
      <c r="M29" s="25">
        <v>25000</v>
      </c>
      <c r="N29" s="25">
        <f t="shared" si="21"/>
        <v>5000</v>
      </c>
    </row>
    <row r="30" spans="1:16" x14ac:dyDescent="0.25">
      <c r="A30" s="36" t="str">
        <f>+A23</f>
        <v>Bran</v>
      </c>
      <c r="B30" s="37">
        <f t="shared" ref="B30:K30" si="23">ROUND(B17*$L$30,0)</f>
        <v>40</v>
      </c>
      <c r="C30" s="37">
        <f t="shared" si="23"/>
        <v>44</v>
      </c>
      <c r="D30" s="37">
        <f t="shared" si="23"/>
        <v>48</v>
      </c>
      <c r="E30" s="37">
        <f t="shared" si="23"/>
        <v>52</v>
      </c>
      <c r="F30" s="37">
        <f t="shared" si="23"/>
        <v>56</v>
      </c>
      <c r="G30" s="37">
        <f t="shared" si="23"/>
        <v>60</v>
      </c>
      <c r="H30" s="37">
        <f t="shared" si="23"/>
        <v>64</v>
      </c>
      <c r="I30" s="37">
        <f t="shared" si="23"/>
        <v>68</v>
      </c>
      <c r="J30" s="37">
        <f t="shared" si="23"/>
        <v>72</v>
      </c>
      <c r="K30" s="37">
        <f t="shared" si="23"/>
        <v>76</v>
      </c>
      <c r="L30" s="262">
        <v>0.08</v>
      </c>
      <c r="M30" s="25">
        <v>12000</v>
      </c>
      <c r="N30" s="25">
        <f t="shared" si="21"/>
        <v>960</v>
      </c>
    </row>
    <row r="31" spans="1:16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6" x14ac:dyDescent="0.25">
      <c r="A32" s="6" t="s">
        <v>619</v>
      </c>
      <c r="B32" s="6">
        <f>4*10</f>
        <v>40</v>
      </c>
      <c r="C32" s="6">
        <f>+B32</f>
        <v>40</v>
      </c>
      <c r="D32" s="6">
        <f t="shared" ref="D32:K32" si="24">+C32</f>
        <v>40</v>
      </c>
      <c r="E32" s="6">
        <f t="shared" si="24"/>
        <v>40</v>
      </c>
      <c r="F32" s="6">
        <f t="shared" si="24"/>
        <v>40</v>
      </c>
      <c r="G32" s="6">
        <f t="shared" si="24"/>
        <v>40</v>
      </c>
      <c r="H32" s="6">
        <f t="shared" si="24"/>
        <v>40</v>
      </c>
      <c r="I32" s="6">
        <f t="shared" si="24"/>
        <v>40</v>
      </c>
      <c r="J32" s="6">
        <f t="shared" si="24"/>
        <v>40</v>
      </c>
      <c r="K32" s="6">
        <f t="shared" si="24"/>
        <v>40</v>
      </c>
      <c r="N32" s="25">
        <f>SUM(N27:N31)</f>
        <v>33760</v>
      </c>
    </row>
    <row r="33" spans="1:1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5">
      <c r="A34" s="36" t="s">
        <v>158</v>
      </c>
      <c r="B34" s="6">
        <f t="shared" ref="B34:K34" si="25">ROUND(B12/B32,0)</f>
        <v>113</v>
      </c>
      <c r="C34" s="6">
        <f t="shared" si="25"/>
        <v>124</v>
      </c>
      <c r="D34" s="6">
        <f t="shared" si="25"/>
        <v>135</v>
      </c>
      <c r="E34" s="6">
        <f t="shared" si="25"/>
        <v>146</v>
      </c>
      <c r="F34" s="6">
        <f t="shared" si="25"/>
        <v>158</v>
      </c>
      <c r="G34" s="6">
        <f t="shared" si="25"/>
        <v>169</v>
      </c>
      <c r="H34" s="6">
        <f t="shared" si="25"/>
        <v>180</v>
      </c>
      <c r="I34" s="6">
        <f t="shared" si="25"/>
        <v>191</v>
      </c>
      <c r="J34" s="6">
        <f t="shared" si="25"/>
        <v>203</v>
      </c>
      <c r="K34" s="6">
        <f t="shared" si="25"/>
        <v>214</v>
      </c>
    </row>
    <row r="35" spans="1:11" x14ac:dyDescent="0.25">
      <c r="A35" s="36" t="s">
        <v>164</v>
      </c>
      <c r="B35" s="6">
        <f t="shared" ref="B35:K35" si="26">ROUND(B17/B32,0)</f>
        <v>13</v>
      </c>
      <c r="C35" s="6">
        <f t="shared" si="26"/>
        <v>14</v>
      </c>
      <c r="D35" s="6">
        <f t="shared" si="26"/>
        <v>15</v>
      </c>
      <c r="E35" s="6">
        <f t="shared" si="26"/>
        <v>16</v>
      </c>
      <c r="F35" s="6">
        <f t="shared" si="26"/>
        <v>18</v>
      </c>
      <c r="G35" s="6">
        <f t="shared" si="26"/>
        <v>19</v>
      </c>
      <c r="H35" s="6">
        <f t="shared" si="26"/>
        <v>20</v>
      </c>
      <c r="I35" s="6">
        <f t="shared" si="26"/>
        <v>21</v>
      </c>
      <c r="J35" s="6">
        <f t="shared" si="26"/>
        <v>23</v>
      </c>
      <c r="K35" s="6">
        <f t="shared" si="26"/>
        <v>24</v>
      </c>
    </row>
    <row r="36" spans="1:1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s="3" customFormat="1" x14ac:dyDescent="0.25">
      <c r="A37" s="8" t="s">
        <v>165</v>
      </c>
      <c r="B37" s="8">
        <f>B34+B35</f>
        <v>126</v>
      </c>
      <c r="C37" s="8">
        <f t="shared" ref="C37:K37" si="27">C34+C35</f>
        <v>138</v>
      </c>
      <c r="D37" s="8">
        <f t="shared" si="27"/>
        <v>150</v>
      </c>
      <c r="E37" s="8">
        <f t="shared" si="27"/>
        <v>162</v>
      </c>
      <c r="F37" s="8">
        <f t="shared" si="27"/>
        <v>176</v>
      </c>
      <c r="G37" s="8">
        <f t="shared" si="27"/>
        <v>188</v>
      </c>
      <c r="H37" s="8">
        <f t="shared" si="27"/>
        <v>200</v>
      </c>
      <c r="I37" s="8">
        <f t="shared" si="27"/>
        <v>212</v>
      </c>
      <c r="J37" s="8">
        <f t="shared" si="27"/>
        <v>226</v>
      </c>
      <c r="K37" s="8">
        <f t="shared" si="27"/>
        <v>238</v>
      </c>
    </row>
  </sheetData>
  <mergeCells count="1">
    <mergeCell ref="B4:K4"/>
  </mergeCells>
  <pageMargins left="0.7" right="0.7" top="0.75" bottom="0.75" header="0.3" footer="0.3"/>
  <pageSetup scale="61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view="pageBreakPreview" zoomScale="85" zoomScaleNormal="100" zoomScaleSheetLayoutView="85" workbookViewId="0">
      <selection activeCell="A2" sqref="A2:K16"/>
    </sheetView>
  </sheetViews>
  <sheetFormatPr defaultRowHeight="15" x14ac:dyDescent="0.25"/>
  <cols>
    <col min="1" max="1" width="28.42578125" style="1" customWidth="1"/>
    <col min="2" max="11" width="8.7109375" style="1" customWidth="1"/>
    <col min="12" max="16384" width="9.140625" style="1"/>
  </cols>
  <sheetData>
    <row r="2" spans="1:11" x14ac:dyDescent="0.25">
      <c r="A2" s="15" t="s">
        <v>1</v>
      </c>
      <c r="B2" s="39" t="s">
        <v>36</v>
      </c>
      <c r="C2" s="39" t="s">
        <v>37</v>
      </c>
      <c r="D2" s="39" t="s">
        <v>38</v>
      </c>
      <c r="E2" s="39" t="s">
        <v>39</v>
      </c>
      <c r="F2" s="39" t="s">
        <v>40</v>
      </c>
      <c r="G2" s="219" t="s">
        <v>41</v>
      </c>
      <c r="H2" s="219" t="s">
        <v>42</v>
      </c>
      <c r="I2" s="219" t="s">
        <v>494</v>
      </c>
      <c r="J2" s="219" t="s">
        <v>495</v>
      </c>
      <c r="K2" s="219" t="s">
        <v>496</v>
      </c>
    </row>
    <row r="3" spans="1:11" x14ac:dyDescent="0.25">
      <c r="A3" s="26" t="s">
        <v>65</v>
      </c>
      <c r="B3" s="36"/>
      <c r="C3" s="36"/>
      <c r="D3" s="36"/>
      <c r="E3" s="36"/>
      <c r="F3" s="36"/>
      <c r="G3" s="6"/>
      <c r="H3" s="6"/>
      <c r="I3" s="6"/>
      <c r="J3" s="6"/>
      <c r="K3" s="6"/>
    </row>
    <row r="4" spans="1:11" x14ac:dyDescent="0.25">
      <c r="A4" s="26" t="s">
        <v>617</v>
      </c>
      <c r="B4" s="36"/>
      <c r="C4" s="36"/>
      <c r="D4" s="36"/>
      <c r="E4" s="36"/>
      <c r="F4" s="36"/>
      <c r="G4" s="6"/>
      <c r="H4" s="6"/>
      <c r="I4" s="6"/>
      <c r="J4" s="6"/>
      <c r="K4" s="6"/>
    </row>
    <row r="5" spans="1:11" x14ac:dyDescent="0.25">
      <c r="A5" s="36" t="s">
        <v>66</v>
      </c>
      <c r="B5" s="36">
        <v>0</v>
      </c>
      <c r="C5" s="36">
        <f>B8</f>
        <v>21</v>
      </c>
      <c r="D5" s="36">
        <f>C8</f>
        <v>23</v>
      </c>
      <c r="E5" s="36">
        <f>D8</f>
        <v>25</v>
      </c>
      <c r="F5" s="36">
        <f>E8</f>
        <v>27</v>
      </c>
      <c r="G5" s="36">
        <f t="shared" ref="G5:H5" si="0">F8</f>
        <v>29</v>
      </c>
      <c r="H5" s="36">
        <f t="shared" si="0"/>
        <v>31</v>
      </c>
      <c r="I5" s="36">
        <f t="shared" ref="I5" si="1">H8</f>
        <v>33</v>
      </c>
      <c r="J5" s="36">
        <f t="shared" ref="J5" si="2">I8</f>
        <v>35</v>
      </c>
      <c r="K5" s="36">
        <f t="shared" ref="K5" si="3">J8</f>
        <v>38</v>
      </c>
    </row>
    <row r="6" spans="1:11" x14ac:dyDescent="0.25">
      <c r="A6" s="36" t="s">
        <v>67</v>
      </c>
      <c r="B6" s="37">
        <f>SUM(B7:B8)-B5</f>
        <v>521</v>
      </c>
      <c r="C6" s="37">
        <f>SUM(C7:C8)-C5</f>
        <v>552</v>
      </c>
      <c r="D6" s="37">
        <f t="shared" ref="D6:K6" si="4">SUM(D7:D8)-D5</f>
        <v>602.00000000000011</v>
      </c>
      <c r="E6" s="37">
        <f t="shared" si="4"/>
        <v>652.00000000000011</v>
      </c>
      <c r="F6" s="37">
        <f t="shared" si="4"/>
        <v>702.00000000000023</v>
      </c>
      <c r="G6" s="37">
        <f t="shared" si="4"/>
        <v>752.00000000000023</v>
      </c>
      <c r="H6" s="37">
        <f t="shared" si="4"/>
        <v>802.00000000000023</v>
      </c>
      <c r="I6" s="37">
        <f t="shared" si="4"/>
        <v>852.00000000000034</v>
      </c>
      <c r="J6" s="37">
        <f t="shared" si="4"/>
        <v>903.00000000000034</v>
      </c>
      <c r="K6" s="37">
        <f t="shared" si="4"/>
        <v>952.00000000000045</v>
      </c>
    </row>
    <row r="7" spans="1:11" x14ac:dyDescent="0.25">
      <c r="A7" s="36" t="s">
        <v>68</v>
      </c>
      <c r="B7" s="37">
        <f>'Output Schedule'!B17</f>
        <v>500</v>
      </c>
      <c r="C7" s="37">
        <f>'Output Schedule'!C17</f>
        <v>550</v>
      </c>
      <c r="D7" s="37">
        <f>'Output Schedule'!D17</f>
        <v>600.00000000000011</v>
      </c>
      <c r="E7" s="37">
        <f>'Output Schedule'!E17</f>
        <v>650.00000000000011</v>
      </c>
      <c r="F7" s="37">
        <f>'Output Schedule'!F17</f>
        <v>700.00000000000023</v>
      </c>
      <c r="G7" s="37">
        <f>'Output Schedule'!G17</f>
        <v>750.00000000000023</v>
      </c>
      <c r="H7" s="37">
        <f>'Output Schedule'!H17</f>
        <v>800.00000000000023</v>
      </c>
      <c r="I7" s="37">
        <f>'Output Schedule'!I17</f>
        <v>850.00000000000034</v>
      </c>
      <c r="J7" s="37">
        <f>'Output Schedule'!J17</f>
        <v>900.00000000000034</v>
      </c>
      <c r="K7" s="37">
        <f>'Output Schedule'!K17</f>
        <v>950.00000000000045</v>
      </c>
    </row>
    <row r="8" spans="1:11" x14ac:dyDescent="0.25">
      <c r="A8" s="36" t="s">
        <v>69</v>
      </c>
      <c r="B8" s="36">
        <f>ROUND(B7/24,0)</f>
        <v>21</v>
      </c>
      <c r="C8" s="36">
        <f t="shared" ref="C8:K8" si="5">ROUND(C7/24,0)</f>
        <v>23</v>
      </c>
      <c r="D8" s="36">
        <f t="shared" si="5"/>
        <v>25</v>
      </c>
      <c r="E8" s="36">
        <f t="shared" si="5"/>
        <v>27</v>
      </c>
      <c r="F8" s="36">
        <f t="shared" si="5"/>
        <v>29</v>
      </c>
      <c r="G8" s="36">
        <f t="shared" si="5"/>
        <v>31</v>
      </c>
      <c r="H8" s="36">
        <f t="shared" si="5"/>
        <v>33</v>
      </c>
      <c r="I8" s="36">
        <f t="shared" si="5"/>
        <v>35</v>
      </c>
      <c r="J8" s="36">
        <f t="shared" si="5"/>
        <v>38</v>
      </c>
      <c r="K8" s="36">
        <f t="shared" si="5"/>
        <v>40</v>
      </c>
    </row>
    <row r="9" spans="1:1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x14ac:dyDescent="0.25">
      <c r="A10" s="26" t="s">
        <v>70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25">
      <c r="A11" s="26" t="s">
        <v>453</v>
      </c>
      <c r="B11" s="291">
        <v>23200</v>
      </c>
      <c r="C11" s="293">
        <f>ROUND(B11*1.05,-1)</f>
        <v>24360</v>
      </c>
      <c r="D11" s="293">
        <f t="shared" ref="D11:K11" si="6">ROUND(C11*1.05,-1)</f>
        <v>25580</v>
      </c>
      <c r="E11" s="293">
        <f t="shared" si="6"/>
        <v>26860</v>
      </c>
      <c r="F11" s="293">
        <f t="shared" si="6"/>
        <v>28200</v>
      </c>
      <c r="G11" s="293">
        <f t="shared" si="6"/>
        <v>29610</v>
      </c>
      <c r="H11" s="293">
        <f t="shared" si="6"/>
        <v>31090</v>
      </c>
      <c r="I11" s="293">
        <f t="shared" si="6"/>
        <v>32640</v>
      </c>
      <c r="J11" s="293">
        <f t="shared" si="6"/>
        <v>34270</v>
      </c>
      <c r="K11" s="293">
        <f t="shared" si="6"/>
        <v>35980</v>
      </c>
    </row>
    <row r="12" spans="1:11" s="40" customFormat="1" ht="30" hidden="1" x14ac:dyDescent="0.25">
      <c r="A12" s="184" t="s">
        <v>452</v>
      </c>
      <c r="B12" s="35">
        <f>B11</f>
        <v>23200</v>
      </c>
      <c r="C12" s="35">
        <f t="shared" ref="C12:H12" si="7">C11</f>
        <v>24360</v>
      </c>
      <c r="D12" s="35">
        <f t="shared" si="7"/>
        <v>25580</v>
      </c>
      <c r="E12" s="35">
        <f t="shared" si="7"/>
        <v>26860</v>
      </c>
      <c r="F12" s="35">
        <f t="shared" si="7"/>
        <v>28200</v>
      </c>
      <c r="G12" s="35">
        <f t="shared" si="7"/>
        <v>29610</v>
      </c>
      <c r="H12" s="35">
        <f t="shared" si="7"/>
        <v>31090</v>
      </c>
      <c r="I12" s="35">
        <f t="shared" ref="I12" si="8">I11</f>
        <v>32640</v>
      </c>
      <c r="J12" s="35">
        <f t="shared" ref="J12" si="9">J11</f>
        <v>34270</v>
      </c>
      <c r="K12" s="35">
        <f t="shared" ref="K12" si="10">K11</f>
        <v>35980</v>
      </c>
    </row>
    <row r="13" spans="1:11" hidden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5">
      <c r="A15" s="26" t="s">
        <v>71</v>
      </c>
      <c r="B15" s="41">
        <v>0</v>
      </c>
      <c r="C15" s="41">
        <f>B16</f>
        <v>4.8719999999999999</v>
      </c>
      <c r="D15" s="41">
        <f>C16</f>
        <v>5.6028000000000002</v>
      </c>
      <c r="E15" s="41">
        <f t="shared" ref="E15:H15" si="11">D16</f>
        <v>6.3949999999999996</v>
      </c>
      <c r="F15" s="41">
        <f t="shared" si="11"/>
        <v>7.2522000000000002</v>
      </c>
      <c r="G15" s="41">
        <f t="shared" si="11"/>
        <v>8.1780000000000008</v>
      </c>
      <c r="H15" s="41">
        <f t="shared" si="11"/>
        <v>9.1791</v>
      </c>
      <c r="I15" s="41">
        <f t="shared" ref="I15" si="12">H16</f>
        <v>10.2597</v>
      </c>
      <c r="J15" s="41">
        <f t="shared" ref="J15" si="13">I16</f>
        <v>11.423999999999999</v>
      </c>
      <c r="K15" s="41">
        <f t="shared" ref="K15" si="14">J16</f>
        <v>13.022600000000001</v>
      </c>
    </row>
    <row r="16" spans="1:11" x14ac:dyDescent="0.25">
      <c r="A16" s="26" t="s">
        <v>72</v>
      </c>
      <c r="B16" s="41">
        <f>B12*B8/100000</f>
        <v>4.8719999999999999</v>
      </c>
      <c r="C16" s="41">
        <f t="shared" ref="C16:H16" si="15">C12*C8/100000</f>
        <v>5.6028000000000002</v>
      </c>
      <c r="D16" s="41">
        <f t="shared" si="15"/>
        <v>6.3949999999999996</v>
      </c>
      <c r="E16" s="41">
        <f t="shared" si="15"/>
        <v>7.2522000000000002</v>
      </c>
      <c r="F16" s="41">
        <f t="shared" si="15"/>
        <v>8.1780000000000008</v>
      </c>
      <c r="G16" s="41">
        <f t="shared" si="15"/>
        <v>9.1791</v>
      </c>
      <c r="H16" s="41">
        <f t="shared" si="15"/>
        <v>10.2597</v>
      </c>
      <c r="I16" s="41">
        <f t="shared" ref="I16:K16" si="16">I12*I8/100000</f>
        <v>11.423999999999999</v>
      </c>
      <c r="J16" s="41">
        <f t="shared" si="16"/>
        <v>13.022600000000001</v>
      </c>
      <c r="K16" s="41">
        <f t="shared" si="16"/>
        <v>14.391999999999999</v>
      </c>
    </row>
    <row r="18" spans="3:8" x14ac:dyDescent="0.25">
      <c r="C18" s="25"/>
      <c r="D18" s="25"/>
      <c r="E18" s="25"/>
      <c r="F18" s="25"/>
      <c r="G18" s="25"/>
      <c r="H18" s="25"/>
    </row>
  </sheetData>
  <pageMargins left="0.7" right="0.7" top="0.75" bottom="0.75" header="0.3" footer="0.3"/>
  <pageSetup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view="pageBreakPreview" zoomScale="60" zoomScaleNormal="100" workbookViewId="0">
      <selection sqref="A1:K6"/>
    </sheetView>
  </sheetViews>
  <sheetFormatPr defaultRowHeight="15" x14ac:dyDescent="0.25"/>
  <cols>
    <col min="1" max="1" width="31.85546875" bestFit="1" customWidth="1"/>
    <col min="2" max="3" width="12.28515625" bestFit="1" customWidth="1"/>
    <col min="4" max="4" width="11.85546875" bestFit="1" customWidth="1"/>
    <col min="5" max="6" width="12.28515625" bestFit="1" customWidth="1"/>
    <col min="7" max="7" width="12.5703125" bestFit="1" customWidth="1"/>
    <col min="8" max="8" width="13" bestFit="1" customWidth="1"/>
    <col min="9" max="10" width="13.42578125" bestFit="1" customWidth="1"/>
    <col min="11" max="11" width="13" bestFit="1" customWidth="1"/>
  </cols>
  <sheetData>
    <row r="1" spans="1:11" x14ac:dyDescent="0.25">
      <c r="A1" s="15" t="s">
        <v>1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219" t="s">
        <v>42</v>
      </c>
      <c r="I1" s="219" t="s">
        <v>494</v>
      </c>
      <c r="J1" s="219" t="s">
        <v>495</v>
      </c>
      <c r="K1" s="219" t="s">
        <v>496</v>
      </c>
    </row>
    <row r="2" spans="1:11" x14ac:dyDescent="0.25">
      <c r="A2" s="26"/>
      <c r="B2" s="27"/>
      <c r="C2" s="27"/>
      <c r="D2" s="27"/>
      <c r="E2" s="27"/>
      <c r="F2" s="27"/>
      <c r="G2" s="27"/>
      <c r="H2" s="217"/>
      <c r="I2" s="18"/>
      <c r="J2" s="18"/>
      <c r="K2" s="18"/>
    </row>
    <row r="3" spans="1:11" x14ac:dyDescent="0.25">
      <c r="A3" s="36" t="s">
        <v>617</v>
      </c>
      <c r="B3" s="36">
        <f>ROUND('CS-RM'!B6,0)</f>
        <v>521</v>
      </c>
      <c r="C3" s="36">
        <f>ROUND('CS-RM'!C6,0)</f>
        <v>552</v>
      </c>
      <c r="D3" s="36">
        <f>ROUND('CS-RM'!D6,0)</f>
        <v>602</v>
      </c>
      <c r="E3" s="36">
        <f>ROUND('CS-RM'!E6,0)</f>
        <v>652</v>
      </c>
      <c r="F3" s="36">
        <f>ROUND('CS-RM'!F6,0)</f>
        <v>702</v>
      </c>
      <c r="G3" s="36">
        <f>ROUND('CS-RM'!G6,0)</f>
        <v>752</v>
      </c>
      <c r="H3" s="36">
        <f>ROUND('CS-RM'!H6,0)</f>
        <v>802</v>
      </c>
      <c r="I3" s="36">
        <f>ROUND('CS-RM'!I6,0)</f>
        <v>852</v>
      </c>
      <c r="J3" s="36">
        <f>ROUND('CS-RM'!J6,0)</f>
        <v>903</v>
      </c>
      <c r="K3" s="36">
        <f>ROUND('CS-RM'!K6,0)</f>
        <v>952</v>
      </c>
    </row>
    <row r="4" spans="1:11" x14ac:dyDescent="0.25">
      <c r="A4" s="36" t="s">
        <v>591</v>
      </c>
      <c r="B4" s="42">
        <f>'CS-RM'!B12</f>
        <v>23200</v>
      </c>
      <c r="C4" s="42">
        <f>'CS-RM'!C12</f>
        <v>24360</v>
      </c>
      <c r="D4" s="42">
        <f>'CS-RM'!D12</f>
        <v>25580</v>
      </c>
      <c r="E4" s="42">
        <f>'CS-RM'!E12</f>
        <v>26860</v>
      </c>
      <c r="F4" s="42">
        <f>'CS-RM'!F12</f>
        <v>28200</v>
      </c>
      <c r="G4" s="42">
        <f>'CS-RM'!G12</f>
        <v>29610</v>
      </c>
      <c r="H4" s="42">
        <f>'CS-RM'!H12</f>
        <v>31090</v>
      </c>
      <c r="I4" s="42">
        <f>'CS-RM'!I12</f>
        <v>32640</v>
      </c>
      <c r="J4" s="42">
        <f>'CS-RM'!J12</f>
        <v>34270</v>
      </c>
      <c r="K4" s="42">
        <f>'CS-RM'!K12</f>
        <v>35980</v>
      </c>
    </row>
    <row r="5" spans="1:11" x14ac:dyDescent="0.25">
      <c r="A5" s="36"/>
      <c r="B5" s="42"/>
      <c r="C5" s="42"/>
      <c r="D5" s="42"/>
      <c r="E5" s="42"/>
      <c r="F5" s="42"/>
      <c r="G5" s="18"/>
      <c r="H5" s="18"/>
      <c r="I5" s="18"/>
      <c r="J5" s="18"/>
      <c r="K5" s="18"/>
    </row>
    <row r="6" spans="1:11" x14ac:dyDescent="0.25">
      <c r="A6" s="26" t="s">
        <v>76</v>
      </c>
      <c r="B6" s="41">
        <f>B3*B4/100000</f>
        <v>120.872</v>
      </c>
      <c r="C6" s="41">
        <f t="shared" ref="C6:K6" si="0">C3*C4/100000</f>
        <v>134.46719999999999</v>
      </c>
      <c r="D6" s="41">
        <f t="shared" si="0"/>
        <v>153.99160000000001</v>
      </c>
      <c r="E6" s="41">
        <f t="shared" si="0"/>
        <v>175.12719999999999</v>
      </c>
      <c r="F6" s="41">
        <f t="shared" si="0"/>
        <v>197.964</v>
      </c>
      <c r="G6" s="41">
        <f t="shared" si="0"/>
        <v>222.66720000000001</v>
      </c>
      <c r="H6" s="41">
        <f t="shared" si="0"/>
        <v>249.34180000000001</v>
      </c>
      <c r="I6" s="41">
        <f t="shared" si="0"/>
        <v>278.09280000000001</v>
      </c>
      <c r="J6" s="41">
        <f t="shared" si="0"/>
        <v>309.4581</v>
      </c>
      <c r="K6" s="41">
        <f t="shared" si="0"/>
        <v>342.52960000000002</v>
      </c>
    </row>
    <row r="8" spans="1:11" hidden="1" x14ac:dyDescent="0.25">
      <c r="B8" s="24">
        <f>B3*'CS-RM'!B11/100000</f>
        <v>120.872</v>
      </c>
      <c r="C8" s="24">
        <f>C3*'CS-RM'!C11/100000</f>
        <v>134.46719999999999</v>
      </c>
      <c r="D8" s="24">
        <f>D3*'CS-RM'!D11/100000</f>
        <v>153.99160000000001</v>
      </c>
      <c r="E8" s="24">
        <f>E3*'CS-RM'!E11/100000</f>
        <v>175.12719999999999</v>
      </c>
      <c r="F8" s="24">
        <f>F3*'CS-RM'!F11/100000</f>
        <v>197.964</v>
      </c>
      <c r="G8" s="24">
        <f>G3*'CS-RM'!G11/100000</f>
        <v>222.66720000000001</v>
      </c>
      <c r="H8" s="24">
        <f>H3*'CS-RM'!H11/100000</f>
        <v>249.34180000000001</v>
      </c>
    </row>
    <row r="9" spans="1:11" hidden="1" x14ac:dyDescent="0.25"/>
    <row r="10" spans="1:11" hidden="1" x14ac:dyDescent="0.25">
      <c r="B10" s="24">
        <f>B8-B6</f>
        <v>0</v>
      </c>
      <c r="C10" s="24">
        <f t="shared" ref="C10:H10" si="1">C8-C6</f>
        <v>0</v>
      </c>
      <c r="D10" s="24">
        <f t="shared" si="1"/>
        <v>0</v>
      </c>
      <c r="E10" s="24">
        <f t="shared" si="1"/>
        <v>0</v>
      </c>
      <c r="F10" s="24">
        <f t="shared" si="1"/>
        <v>0</v>
      </c>
      <c r="G10" s="24">
        <f t="shared" si="1"/>
        <v>0</v>
      </c>
      <c r="H10" s="24">
        <f t="shared" si="1"/>
        <v>0</v>
      </c>
    </row>
    <row r="11" spans="1:11" hidden="1" x14ac:dyDescent="0.25"/>
    <row r="12" spans="1:11" hidden="1" x14ac:dyDescent="0.25">
      <c r="B12" s="24">
        <f>'Production Level Support'!B3</f>
        <v>0</v>
      </c>
      <c r="C12" s="24">
        <f>'Production Level Support'!C3</f>
        <v>0</v>
      </c>
      <c r="D12" s="24">
        <f>'Production Level Support'!D3</f>
        <v>0</v>
      </c>
      <c r="E12" s="24">
        <f>'Production Level Support'!E3</f>
        <v>0</v>
      </c>
      <c r="F12" s="24">
        <f>'Production Level Support'!F3</f>
        <v>0</v>
      </c>
      <c r="G12" s="24">
        <f>'Production Level Support'!G3</f>
        <v>0</v>
      </c>
      <c r="H12" s="24">
        <f>'Production Level Support'!H3</f>
        <v>0</v>
      </c>
    </row>
    <row r="13" spans="1:11" hidden="1" x14ac:dyDescent="0.25"/>
    <row r="14" spans="1:11" hidden="1" x14ac:dyDescent="0.25">
      <c r="B14" s="24">
        <f>B10-B12</f>
        <v>0</v>
      </c>
      <c r="C14" s="24">
        <f t="shared" ref="C14:H14" si="2">C10-C12</f>
        <v>0</v>
      </c>
      <c r="D14" s="24">
        <f t="shared" si="2"/>
        <v>0</v>
      </c>
      <c r="E14" s="24">
        <f t="shared" si="2"/>
        <v>0</v>
      </c>
      <c r="F14" s="24">
        <f t="shared" si="2"/>
        <v>0</v>
      </c>
      <c r="G14" s="24">
        <f t="shared" si="2"/>
        <v>0</v>
      </c>
      <c r="H14" s="24">
        <f t="shared" si="2"/>
        <v>0</v>
      </c>
    </row>
    <row r="15" spans="1:11" hidden="1" x14ac:dyDescent="0.25"/>
    <row r="17" spans="2:2" x14ac:dyDescent="0.25">
      <c r="B17" s="24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4"/>
  <sheetViews>
    <sheetView view="pageBreakPreview" topLeftCell="A33" zoomScale="60" zoomScaleNormal="100" workbookViewId="0">
      <selection activeCell="C30" sqref="C30"/>
    </sheetView>
  </sheetViews>
  <sheetFormatPr defaultRowHeight="15" x14ac:dyDescent="0.25"/>
  <cols>
    <col min="1" max="1" width="4" style="1" bestFit="1" customWidth="1"/>
    <col min="2" max="2" width="44.85546875" style="1" bestFit="1" customWidth="1"/>
    <col min="3" max="8" width="12.28515625" style="1" bestFit="1" customWidth="1"/>
    <col min="9" max="9" width="11.85546875" style="1" bestFit="1" customWidth="1"/>
    <col min="10" max="12" width="12.28515625" style="1" bestFit="1" customWidth="1"/>
    <col min="13" max="16384" width="9.140625" style="1"/>
  </cols>
  <sheetData>
    <row r="2" spans="1:12" x14ac:dyDescent="0.25">
      <c r="A2" s="46" t="s">
        <v>77</v>
      </c>
      <c r="B2" s="15" t="s">
        <v>1</v>
      </c>
      <c r="C2" s="39" t="s">
        <v>36</v>
      </c>
      <c r="D2" s="39" t="s">
        <v>37</v>
      </c>
      <c r="E2" s="39" t="s">
        <v>38</v>
      </c>
      <c r="F2" s="39" t="s">
        <v>39</v>
      </c>
      <c r="G2" s="39" t="s">
        <v>40</v>
      </c>
      <c r="H2" s="39" t="s">
        <v>41</v>
      </c>
      <c r="I2" s="219" t="s">
        <v>42</v>
      </c>
      <c r="J2" s="219" t="s">
        <v>494</v>
      </c>
      <c r="K2" s="219" t="s">
        <v>495</v>
      </c>
      <c r="L2" s="219" t="s">
        <v>496</v>
      </c>
    </row>
    <row r="3" spans="1:12" x14ac:dyDescent="0.25">
      <c r="A3" s="43"/>
      <c r="B3" s="26" t="s">
        <v>78</v>
      </c>
      <c r="C3" s="27"/>
      <c r="D3" s="27"/>
      <c r="E3" s="27"/>
      <c r="F3" s="27"/>
      <c r="G3" s="27"/>
      <c r="H3" s="27"/>
      <c r="I3" s="217"/>
      <c r="J3" s="6"/>
      <c r="K3" s="6"/>
      <c r="L3" s="6"/>
    </row>
    <row r="4" spans="1:12" x14ac:dyDescent="0.25">
      <c r="A4" s="7" t="s">
        <v>79</v>
      </c>
      <c r="B4" s="26" t="str">
        <f>'Output Schedule'!A27</f>
        <v>Rice</v>
      </c>
      <c r="C4" s="36"/>
      <c r="D4" s="36"/>
      <c r="E4" s="36"/>
      <c r="F4" s="36"/>
      <c r="G4" s="36"/>
      <c r="H4" s="6"/>
      <c r="I4" s="6"/>
      <c r="J4" s="6"/>
      <c r="K4" s="6"/>
      <c r="L4" s="6"/>
    </row>
    <row r="5" spans="1:12" x14ac:dyDescent="0.25">
      <c r="A5" s="43"/>
      <c r="B5" s="36" t="s">
        <v>80</v>
      </c>
      <c r="C5" s="36">
        <f>0</f>
        <v>0</v>
      </c>
      <c r="D5" s="36">
        <f>C8</f>
        <v>10</v>
      </c>
      <c r="E5" s="36">
        <f>D8</f>
        <v>12</v>
      </c>
      <c r="F5" s="36">
        <f>E8</f>
        <v>13</v>
      </c>
      <c r="G5" s="36">
        <f>F8</f>
        <v>14</v>
      </c>
      <c r="H5" s="36">
        <f t="shared" ref="H5:I5" si="0">G8</f>
        <v>15</v>
      </c>
      <c r="I5" s="36">
        <f t="shared" si="0"/>
        <v>16</v>
      </c>
      <c r="J5" s="36">
        <f t="shared" ref="J5" si="1">I8</f>
        <v>17</v>
      </c>
      <c r="K5" s="36">
        <f t="shared" ref="K5" si="2">J8</f>
        <v>18</v>
      </c>
      <c r="L5" s="36">
        <f t="shared" ref="L5" si="3">K8</f>
        <v>20</v>
      </c>
    </row>
    <row r="6" spans="1:12" x14ac:dyDescent="0.25">
      <c r="A6" s="43"/>
      <c r="B6" s="36" t="s">
        <v>81</v>
      </c>
      <c r="C6" s="37">
        <f>'Output Schedule'!B27</f>
        <v>250</v>
      </c>
      <c r="D6" s="37">
        <f>'Output Schedule'!C27</f>
        <v>275</v>
      </c>
      <c r="E6" s="37">
        <f>'Output Schedule'!D27</f>
        <v>300</v>
      </c>
      <c r="F6" s="37">
        <f>'Output Schedule'!E27</f>
        <v>325</v>
      </c>
      <c r="G6" s="37">
        <f>'Output Schedule'!F27</f>
        <v>350</v>
      </c>
      <c r="H6" s="37">
        <f>'Output Schedule'!G27</f>
        <v>375</v>
      </c>
      <c r="I6" s="37">
        <f>'Output Schedule'!H27</f>
        <v>400</v>
      </c>
      <c r="J6" s="37">
        <f>'Output Schedule'!I27</f>
        <v>425</v>
      </c>
      <c r="K6" s="37">
        <f>'Output Schedule'!J27</f>
        <v>450</v>
      </c>
      <c r="L6" s="37">
        <f>'Output Schedule'!K27</f>
        <v>475</v>
      </c>
    </row>
    <row r="7" spans="1:12" x14ac:dyDescent="0.25">
      <c r="A7" s="43"/>
      <c r="B7" s="36" t="s">
        <v>82</v>
      </c>
      <c r="C7" s="36">
        <f>C5+C6-C8</f>
        <v>240</v>
      </c>
      <c r="D7" s="36">
        <f>D5+D6-D8</f>
        <v>273</v>
      </c>
      <c r="E7" s="36">
        <f>E5+E6-E8</f>
        <v>299</v>
      </c>
      <c r="F7" s="36">
        <f>F5+F6-F8</f>
        <v>324</v>
      </c>
      <c r="G7" s="36">
        <f>G5+G6-G8</f>
        <v>349</v>
      </c>
      <c r="H7" s="36">
        <f t="shared" ref="H7:I7" si="4">H5+H6-H8</f>
        <v>374</v>
      </c>
      <c r="I7" s="36">
        <f t="shared" si="4"/>
        <v>399</v>
      </c>
      <c r="J7" s="36">
        <f t="shared" ref="J7:L7" si="5">J5+J6-J8</f>
        <v>424</v>
      </c>
      <c r="K7" s="36">
        <f t="shared" si="5"/>
        <v>448</v>
      </c>
      <c r="L7" s="36">
        <f t="shared" si="5"/>
        <v>474</v>
      </c>
    </row>
    <row r="8" spans="1:12" x14ac:dyDescent="0.25">
      <c r="A8" s="43"/>
      <c r="B8" s="36" t="s">
        <v>83</v>
      </c>
      <c r="C8" s="36">
        <f>ROUND((C6+C5)/24,0)</f>
        <v>10</v>
      </c>
      <c r="D8" s="36">
        <f t="shared" ref="D8:L8" si="6">ROUND((D6+D5)/24,0)</f>
        <v>12</v>
      </c>
      <c r="E8" s="36">
        <f t="shared" si="6"/>
        <v>13</v>
      </c>
      <c r="F8" s="36">
        <f t="shared" si="6"/>
        <v>14</v>
      </c>
      <c r="G8" s="36">
        <f t="shared" si="6"/>
        <v>15</v>
      </c>
      <c r="H8" s="36">
        <f t="shared" si="6"/>
        <v>16</v>
      </c>
      <c r="I8" s="36">
        <f t="shared" si="6"/>
        <v>17</v>
      </c>
      <c r="J8" s="36">
        <f t="shared" si="6"/>
        <v>18</v>
      </c>
      <c r="K8" s="36">
        <f t="shared" si="6"/>
        <v>20</v>
      </c>
      <c r="L8" s="36">
        <f t="shared" si="6"/>
        <v>21</v>
      </c>
    </row>
    <row r="9" spans="1:12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3" customFormat="1" x14ac:dyDescent="0.25">
      <c r="A10" s="7" t="s">
        <v>84</v>
      </c>
      <c r="B10" s="8" t="str">
        <f>+'Output Schedule'!A28</f>
        <v>Husk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 x14ac:dyDescent="0.25">
      <c r="A11" s="6"/>
      <c r="B11" s="36" t="s">
        <v>80</v>
      </c>
      <c r="C11" s="36">
        <f>0</f>
        <v>0</v>
      </c>
      <c r="D11" s="36">
        <f>C14</f>
        <v>4</v>
      </c>
      <c r="E11" s="36">
        <f>D14</f>
        <v>5</v>
      </c>
      <c r="F11" s="36">
        <f>E14</f>
        <v>5</v>
      </c>
      <c r="G11" s="36">
        <f>F14</f>
        <v>6</v>
      </c>
      <c r="H11" s="36">
        <f t="shared" ref="H11:I11" si="7">G14</f>
        <v>6</v>
      </c>
      <c r="I11" s="36">
        <f t="shared" si="7"/>
        <v>7</v>
      </c>
      <c r="J11" s="36">
        <f t="shared" ref="J11" si="8">I14</f>
        <v>7</v>
      </c>
      <c r="K11" s="36">
        <f t="shared" ref="K11" si="9">J14</f>
        <v>7</v>
      </c>
      <c r="L11" s="36">
        <f t="shared" ref="L11" si="10">K14</f>
        <v>8</v>
      </c>
    </row>
    <row r="12" spans="1:12" x14ac:dyDescent="0.25">
      <c r="A12" s="6"/>
      <c r="B12" s="36" t="s">
        <v>81</v>
      </c>
      <c r="C12" s="37">
        <f>'Output Schedule'!B28</f>
        <v>100</v>
      </c>
      <c r="D12" s="37">
        <f>'Output Schedule'!C28</f>
        <v>110</v>
      </c>
      <c r="E12" s="37">
        <f>'Output Schedule'!D28</f>
        <v>120</v>
      </c>
      <c r="F12" s="37">
        <f>'Output Schedule'!E28</f>
        <v>130</v>
      </c>
      <c r="G12" s="37">
        <f>'Output Schedule'!F28</f>
        <v>140</v>
      </c>
      <c r="H12" s="37">
        <f>'Output Schedule'!G28</f>
        <v>150</v>
      </c>
      <c r="I12" s="37">
        <f>'Output Schedule'!H28</f>
        <v>160</v>
      </c>
      <c r="J12" s="37">
        <f>'Output Schedule'!I28</f>
        <v>170</v>
      </c>
      <c r="K12" s="37">
        <f>'Output Schedule'!J28</f>
        <v>180</v>
      </c>
      <c r="L12" s="37">
        <f>'Output Schedule'!K28</f>
        <v>190</v>
      </c>
    </row>
    <row r="13" spans="1:12" x14ac:dyDescent="0.25">
      <c r="A13" s="6"/>
      <c r="B13" s="36" t="s">
        <v>82</v>
      </c>
      <c r="C13" s="36">
        <f>C11+C12-C14</f>
        <v>96</v>
      </c>
      <c r="D13" s="36">
        <f>D11+D12-D14</f>
        <v>109</v>
      </c>
      <c r="E13" s="36">
        <f>E11+E12-E14</f>
        <v>120</v>
      </c>
      <c r="F13" s="36">
        <f>F11+F12-F14</f>
        <v>129</v>
      </c>
      <c r="G13" s="36">
        <f>G11+G12-G14</f>
        <v>140</v>
      </c>
      <c r="H13" s="36">
        <f t="shared" ref="H13:I13" si="11">H11+H12-H14</f>
        <v>149</v>
      </c>
      <c r="I13" s="36">
        <f t="shared" si="11"/>
        <v>160</v>
      </c>
      <c r="J13" s="36">
        <f t="shared" ref="J13:L13" si="12">J11+J12-J14</f>
        <v>170</v>
      </c>
      <c r="K13" s="36">
        <f t="shared" si="12"/>
        <v>179</v>
      </c>
      <c r="L13" s="36">
        <f t="shared" si="12"/>
        <v>190</v>
      </c>
    </row>
    <row r="14" spans="1:12" x14ac:dyDescent="0.25">
      <c r="A14" s="6"/>
      <c r="B14" s="36" t="s">
        <v>83</v>
      </c>
      <c r="C14" s="36">
        <f>ROUND((C12+C11)/24,0)</f>
        <v>4</v>
      </c>
      <c r="D14" s="36">
        <f t="shared" ref="D14:L14" si="13">ROUND((D12+D11)/24,0)</f>
        <v>5</v>
      </c>
      <c r="E14" s="36">
        <f t="shared" si="13"/>
        <v>5</v>
      </c>
      <c r="F14" s="36">
        <f t="shared" si="13"/>
        <v>6</v>
      </c>
      <c r="G14" s="36">
        <f t="shared" si="13"/>
        <v>6</v>
      </c>
      <c r="H14" s="36">
        <f t="shared" si="13"/>
        <v>7</v>
      </c>
      <c r="I14" s="36">
        <f t="shared" si="13"/>
        <v>7</v>
      </c>
      <c r="J14" s="36">
        <f t="shared" si="13"/>
        <v>7</v>
      </c>
      <c r="K14" s="36">
        <f t="shared" si="13"/>
        <v>8</v>
      </c>
      <c r="L14" s="36">
        <f t="shared" si="13"/>
        <v>8</v>
      </c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 x14ac:dyDescent="0.25">
      <c r="A16" s="7" t="s">
        <v>85</v>
      </c>
      <c r="B16" s="26" t="str">
        <f>'Output Schedule'!A29</f>
        <v>Broken</v>
      </c>
      <c r="C16" s="8"/>
      <c r="D16" s="8"/>
      <c r="E16" s="8"/>
      <c r="F16" s="8"/>
      <c r="G16" s="8"/>
      <c r="H16" s="8"/>
      <c r="I16" s="8"/>
      <c r="J16" s="6"/>
      <c r="K16" s="6"/>
      <c r="L16" s="6"/>
    </row>
    <row r="17" spans="1:12" x14ac:dyDescent="0.25">
      <c r="A17" s="6"/>
      <c r="B17" s="36" t="s">
        <v>80</v>
      </c>
      <c r="C17" s="36">
        <f>0</f>
        <v>0</v>
      </c>
      <c r="D17" s="36">
        <f>C20</f>
        <v>4</v>
      </c>
      <c r="E17" s="36">
        <f>D20</f>
        <v>5</v>
      </c>
      <c r="F17" s="36">
        <f>E20</f>
        <v>5</v>
      </c>
      <c r="G17" s="36">
        <f>F20</f>
        <v>6</v>
      </c>
      <c r="H17" s="36">
        <f t="shared" ref="H17:I17" si="14">G20</f>
        <v>6</v>
      </c>
      <c r="I17" s="36">
        <f t="shared" si="14"/>
        <v>7</v>
      </c>
      <c r="J17" s="36">
        <f t="shared" ref="J17" si="15">I20</f>
        <v>7</v>
      </c>
      <c r="K17" s="36">
        <f t="shared" ref="K17" si="16">J20</f>
        <v>7</v>
      </c>
      <c r="L17" s="36">
        <f t="shared" ref="L17" si="17">K20</f>
        <v>8</v>
      </c>
    </row>
    <row r="18" spans="1:12" x14ac:dyDescent="0.25">
      <c r="A18" s="6"/>
      <c r="B18" s="36" t="s">
        <v>81</v>
      </c>
      <c r="C18" s="37">
        <f>'Output Schedule'!B29</f>
        <v>100</v>
      </c>
      <c r="D18" s="37">
        <f>'Output Schedule'!C29</f>
        <v>110</v>
      </c>
      <c r="E18" s="37">
        <f>'Output Schedule'!D29</f>
        <v>120</v>
      </c>
      <c r="F18" s="37">
        <f>'Output Schedule'!E29</f>
        <v>130</v>
      </c>
      <c r="G18" s="37">
        <f>'Output Schedule'!F29</f>
        <v>140</v>
      </c>
      <c r="H18" s="37">
        <f>'Output Schedule'!G29</f>
        <v>150</v>
      </c>
      <c r="I18" s="37">
        <f>'Output Schedule'!H29</f>
        <v>160</v>
      </c>
      <c r="J18" s="37">
        <f>'Output Schedule'!I29</f>
        <v>170</v>
      </c>
      <c r="K18" s="37">
        <f>'Output Schedule'!J29</f>
        <v>180</v>
      </c>
      <c r="L18" s="37">
        <f>'Output Schedule'!K29</f>
        <v>190</v>
      </c>
    </row>
    <row r="19" spans="1:12" x14ac:dyDescent="0.25">
      <c r="A19" s="6"/>
      <c r="B19" s="36" t="s">
        <v>82</v>
      </c>
      <c r="C19" s="36">
        <f>C17+C18-C20</f>
        <v>96</v>
      </c>
      <c r="D19" s="36">
        <f>D17+D18-D20</f>
        <v>109</v>
      </c>
      <c r="E19" s="36">
        <f>E17+E18-E20</f>
        <v>120</v>
      </c>
      <c r="F19" s="36">
        <f>F17+F18-F20</f>
        <v>129</v>
      </c>
      <c r="G19" s="36">
        <f>G17+G18-G20</f>
        <v>140</v>
      </c>
      <c r="H19" s="36">
        <f t="shared" ref="H19:I19" si="18">H17+H18-H20</f>
        <v>149</v>
      </c>
      <c r="I19" s="36">
        <f t="shared" si="18"/>
        <v>160</v>
      </c>
      <c r="J19" s="36">
        <f t="shared" ref="J19:L19" si="19">J17+J18-J20</f>
        <v>170</v>
      </c>
      <c r="K19" s="36">
        <f t="shared" si="19"/>
        <v>179</v>
      </c>
      <c r="L19" s="36">
        <f t="shared" si="19"/>
        <v>190</v>
      </c>
    </row>
    <row r="20" spans="1:12" x14ac:dyDescent="0.25">
      <c r="A20" s="6"/>
      <c r="B20" s="36" t="s">
        <v>83</v>
      </c>
      <c r="C20" s="36">
        <f>ROUND((C18+C17)/24,0)</f>
        <v>4</v>
      </c>
      <c r="D20" s="36">
        <f t="shared" ref="D20:L20" si="20">ROUND((D18+D17)/24,0)</f>
        <v>5</v>
      </c>
      <c r="E20" s="36">
        <f t="shared" si="20"/>
        <v>5</v>
      </c>
      <c r="F20" s="36">
        <f t="shared" si="20"/>
        <v>6</v>
      </c>
      <c r="G20" s="36">
        <f t="shared" si="20"/>
        <v>6</v>
      </c>
      <c r="H20" s="36">
        <f t="shared" si="20"/>
        <v>7</v>
      </c>
      <c r="I20" s="36">
        <f t="shared" si="20"/>
        <v>7</v>
      </c>
      <c r="J20" s="36">
        <f t="shared" si="20"/>
        <v>7</v>
      </c>
      <c r="K20" s="36">
        <f t="shared" si="20"/>
        <v>8</v>
      </c>
      <c r="L20" s="36">
        <f t="shared" si="20"/>
        <v>8</v>
      </c>
    </row>
    <row r="21" spans="1:12" x14ac:dyDescent="0.25">
      <c r="A21" s="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1:12" x14ac:dyDescent="0.25">
      <c r="A22" s="259" t="s">
        <v>402</v>
      </c>
      <c r="B22" s="26" t="str">
        <f>'Output Schedule'!A30</f>
        <v>Bran</v>
      </c>
      <c r="C22" s="8"/>
      <c r="D22" s="8"/>
      <c r="E22" s="8"/>
      <c r="F22" s="8"/>
      <c r="G22" s="8"/>
      <c r="H22" s="8"/>
      <c r="I22" s="8"/>
      <c r="J22" s="6"/>
      <c r="K22" s="6"/>
      <c r="L22" s="6"/>
    </row>
    <row r="23" spans="1:12" x14ac:dyDescent="0.25">
      <c r="A23" s="6"/>
      <c r="B23" s="36" t="s">
        <v>80</v>
      </c>
      <c r="C23" s="36">
        <f>0</f>
        <v>0</v>
      </c>
      <c r="D23" s="36">
        <f>C26</f>
        <v>2</v>
      </c>
      <c r="E23" s="36">
        <f>D26</f>
        <v>2</v>
      </c>
      <c r="F23" s="36">
        <f>E26</f>
        <v>2</v>
      </c>
      <c r="G23" s="36">
        <f>F26</f>
        <v>2</v>
      </c>
      <c r="H23" s="36">
        <f t="shared" ref="H23" si="21">G26</f>
        <v>2</v>
      </c>
      <c r="I23" s="36">
        <f t="shared" ref="I23" si="22">H26</f>
        <v>3</v>
      </c>
      <c r="J23" s="36">
        <f t="shared" ref="J23" si="23">I26</f>
        <v>3</v>
      </c>
      <c r="K23" s="36">
        <f t="shared" ref="K23" si="24">J26</f>
        <v>3</v>
      </c>
      <c r="L23" s="36">
        <f t="shared" ref="L23" si="25">K26</f>
        <v>3</v>
      </c>
    </row>
    <row r="24" spans="1:12" x14ac:dyDescent="0.25">
      <c r="A24" s="6"/>
      <c r="B24" s="36" t="s">
        <v>81</v>
      </c>
      <c r="C24" s="37">
        <f>'Output Schedule'!B30</f>
        <v>40</v>
      </c>
      <c r="D24" s="37">
        <f>'Output Schedule'!C30</f>
        <v>44</v>
      </c>
      <c r="E24" s="37">
        <f>'Output Schedule'!D30</f>
        <v>48</v>
      </c>
      <c r="F24" s="37">
        <f>'Output Schedule'!E30</f>
        <v>52</v>
      </c>
      <c r="G24" s="37">
        <f>'Output Schedule'!F30</f>
        <v>56</v>
      </c>
      <c r="H24" s="37">
        <f>'Output Schedule'!G30</f>
        <v>60</v>
      </c>
      <c r="I24" s="37">
        <f>'Output Schedule'!H30</f>
        <v>64</v>
      </c>
      <c r="J24" s="37">
        <f>'Output Schedule'!I30</f>
        <v>68</v>
      </c>
      <c r="K24" s="37">
        <f>'Output Schedule'!J30</f>
        <v>72</v>
      </c>
      <c r="L24" s="37">
        <f>'Output Schedule'!K30</f>
        <v>76</v>
      </c>
    </row>
    <row r="25" spans="1:12" x14ac:dyDescent="0.25">
      <c r="A25" s="6"/>
      <c r="B25" s="36" t="s">
        <v>82</v>
      </c>
      <c r="C25" s="36">
        <f>C23+C24-C26</f>
        <v>38</v>
      </c>
      <c r="D25" s="36">
        <f>D23+D24-D26</f>
        <v>44</v>
      </c>
      <c r="E25" s="36">
        <f>E23+E24-E26</f>
        <v>48</v>
      </c>
      <c r="F25" s="36">
        <f>F23+F24-F26</f>
        <v>52</v>
      </c>
      <c r="G25" s="36">
        <f>G23+G24-G26</f>
        <v>56</v>
      </c>
      <c r="H25" s="36">
        <f t="shared" ref="H25:L25" si="26">H23+H24-H26</f>
        <v>59</v>
      </c>
      <c r="I25" s="36">
        <f t="shared" si="26"/>
        <v>64</v>
      </c>
      <c r="J25" s="36">
        <f t="shared" si="26"/>
        <v>68</v>
      </c>
      <c r="K25" s="36">
        <f t="shared" si="26"/>
        <v>72</v>
      </c>
      <c r="L25" s="36">
        <f t="shared" si="26"/>
        <v>76</v>
      </c>
    </row>
    <row r="26" spans="1:12" x14ac:dyDescent="0.25">
      <c r="A26" s="6"/>
      <c r="B26" s="36" t="s">
        <v>83</v>
      </c>
      <c r="C26" s="36">
        <f>ROUND(C24/24,0)</f>
        <v>2</v>
      </c>
      <c r="D26" s="36">
        <f t="shared" ref="D26:L26" si="27">ROUND(D24/24,0)</f>
        <v>2</v>
      </c>
      <c r="E26" s="36">
        <f t="shared" si="27"/>
        <v>2</v>
      </c>
      <c r="F26" s="36">
        <f t="shared" si="27"/>
        <v>2</v>
      </c>
      <c r="G26" s="36">
        <f t="shared" si="27"/>
        <v>2</v>
      </c>
      <c r="H26" s="36">
        <f t="shared" si="27"/>
        <v>3</v>
      </c>
      <c r="I26" s="36">
        <f t="shared" si="27"/>
        <v>3</v>
      </c>
      <c r="J26" s="36">
        <f t="shared" si="27"/>
        <v>3</v>
      </c>
      <c r="K26" s="36">
        <f t="shared" si="27"/>
        <v>3</v>
      </c>
      <c r="L26" s="36">
        <f t="shared" si="27"/>
        <v>3</v>
      </c>
    </row>
    <row r="27" spans="1:12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x14ac:dyDescent="0.25">
      <c r="A28" s="6"/>
      <c r="B28" s="26" t="s">
        <v>86</v>
      </c>
      <c r="C28" s="3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43" t="s">
        <v>79</v>
      </c>
      <c r="B29" s="33" t="str">
        <f>+B4</f>
        <v>Rice</v>
      </c>
      <c r="C29" s="42">
        <v>45000</v>
      </c>
      <c r="D29" s="45">
        <f>ROUND(C29*1.05,-1)</f>
        <v>47250</v>
      </c>
      <c r="E29" s="45">
        <f t="shared" ref="E29:L29" si="28">ROUND(D29*1.05,-1)</f>
        <v>49610</v>
      </c>
      <c r="F29" s="45">
        <f t="shared" si="28"/>
        <v>52090</v>
      </c>
      <c r="G29" s="45">
        <f t="shared" si="28"/>
        <v>54690</v>
      </c>
      <c r="H29" s="45">
        <f t="shared" si="28"/>
        <v>57420</v>
      </c>
      <c r="I29" s="45">
        <f t="shared" si="28"/>
        <v>60290</v>
      </c>
      <c r="J29" s="45">
        <f t="shared" si="28"/>
        <v>63300</v>
      </c>
      <c r="K29" s="45">
        <f t="shared" si="28"/>
        <v>66470</v>
      </c>
      <c r="L29" s="45">
        <f t="shared" si="28"/>
        <v>69790</v>
      </c>
    </row>
    <row r="30" spans="1:12" x14ac:dyDescent="0.25">
      <c r="A30" s="43" t="s">
        <v>84</v>
      </c>
      <c r="B30" s="33" t="str">
        <f>B10</f>
        <v>Husk</v>
      </c>
      <c r="C30" s="42">
        <v>2000</v>
      </c>
      <c r="D30" s="45">
        <f>ROUND(C30*1.05,-1)</f>
        <v>2100</v>
      </c>
      <c r="E30" s="45">
        <f t="shared" ref="E30:L30" si="29">ROUND(D30*1.05,-1)</f>
        <v>2210</v>
      </c>
      <c r="F30" s="45">
        <f t="shared" si="29"/>
        <v>2320</v>
      </c>
      <c r="G30" s="45">
        <f t="shared" si="29"/>
        <v>2440</v>
      </c>
      <c r="H30" s="45">
        <f t="shared" si="29"/>
        <v>2560</v>
      </c>
      <c r="I30" s="45">
        <f t="shared" si="29"/>
        <v>2690</v>
      </c>
      <c r="J30" s="45">
        <f t="shared" si="29"/>
        <v>2820</v>
      </c>
      <c r="K30" s="45">
        <f t="shared" si="29"/>
        <v>2960</v>
      </c>
      <c r="L30" s="45">
        <f t="shared" si="29"/>
        <v>3110</v>
      </c>
    </row>
    <row r="31" spans="1:12" x14ac:dyDescent="0.25">
      <c r="A31" s="43" t="s">
        <v>85</v>
      </c>
      <c r="B31" s="33" t="str">
        <f>B16</f>
        <v>Broken</v>
      </c>
      <c r="C31" s="42">
        <v>18000</v>
      </c>
      <c r="D31" s="45">
        <f>ROUND(C31*1.05,-1)</f>
        <v>18900</v>
      </c>
      <c r="E31" s="45">
        <f t="shared" ref="E31:L31" si="30">ROUND(D31*1.05,-1)</f>
        <v>19850</v>
      </c>
      <c r="F31" s="45">
        <f t="shared" si="30"/>
        <v>20840</v>
      </c>
      <c r="G31" s="45">
        <f t="shared" si="30"/>
        <v>21880</v>
      </c>
      <c r="H31" s="45">
        <f t="shared" si="30"/>
        <v>22970</v>
      </c>
      <c r="I31" s="45">
        <f t="shared" si="30"/>
        <v>24120</v>
      </c>
      <c r="J31" s="45">
        <f t="shared" si="30"/>
        <v>25330</v>
      </c>
      <c r="K31" s="45">
        <f t="shared" si="30"/>
        <v>26600</v>
      </c>
      <c r="L31" s="45">
        <f t="shared" si="30"/>
        <v>27930</v>
      </c>
    </row>
    <row r="32" spans="1:12" x14ac:dyDescent="0.25">
      <c r="A32" s="43" t="s">
        <v>402</v>
      </c>
      <c r="B32" s="33" t="str">
        <f>B22</f>
        <v>Bran</v>
      </c>
      <c r="C32" s="42">
        <v>10000</v>
      </c>
      <c r="D32" s="45">
        <f>ROUND(C32*1.05,-1)</f>
        <v>10500</v>
      </c>
      <c r="E32" s="45">
        <f t="shared" ref="E32:L32" si="31">ROUND(D32*1.05,-1)</f>
        <v>11030</v>
      </c>
      <c r="F32" s="45">
        <f t="shared" si="31"/>
        <v>11580</v>
      </c>
      <c r="G32" s="45">
        <f t="shared" si="31"/>
        <v>12160</v>
      </c>
      <c r="H32" s="45">
        <f t="shared" si="31"/>
        <v>12770</v>
      </c>
      <c r="I32" s="45">
        <f t="shared" si="31"/>
        <v>13410</v>
      </c>
      <c r="J32" s="45">
        <f t="shared" si="31"/>
        <v>14080</v>
      </c>
      <c r="K32" s="45">
        <f t="shared" si="31"/>
        <v>14780</v>
      </c>
      <c r="L32" s="45">
        <f t="shared" si="31"/>
        <v>15520</v>
      </c>
    </row>
    <row r="33" spans="1:12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x14ac:dyDescent="0.25">
      <c r="A34" s="8" t="s">
        <v>79</v>
      </c>
      <c r="B34" s="8" t="str">
        <f>B29</f>
        <v>Rice</v>
      </c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x14ac:dyDescent="0.25">
      <c r="A35" s="6"/>
      <c r="B35" s="36" t="s">
        <v>71</v>
      </c>
      <c r="C35" s="42">
        <v>0</v>
      </c>
      <c r="D35" s="42">
        <f>C36</f>
        <v>4.5</v>
      </c>
      <c r="E35" s="42">
        <f>D36</f>
        <v>5.67</v>
      </c>
      <c r="F35" s="42">
        <f t="shared" ref="F35:I35" si="32">E36</f>
        <v>6.4493</v>
      </c>
      <c r="G35" s="42">
        <f t="shared" si="32"/>
        <v>7.2926000000000002</v>
      </c>
      <c r="H35" s="42">
        <f t="shared" si="32"/>
        <v>8.2035</v>
      </c>
      <c r="I35" s="42">
        <f t="shared" si="32"/>
        <v>9.1872000000000007</v>
      </c>
      <c r="J35" s="42">
        <f t="shared" ref="J35" si="33">I36</f>
        <v>10.2493</v>
      </c>
      <c r="K35" s="42">
        <f t="shared" ref="K35" si="34">J36</f>
        <v>11.394</v>
      </c>
      <c r="L35" s="42">
        <f t="shared" ref="L35" si="35">K36</f>
        <v>13.294</v>
      </c>
    </row>
    <row r="36" spans="1:12" x14ac:dyDescent="0.25">
      <c r="A36" s="6"/>
      <c r="B36" s="36" t="s">
        <v>72</v>
      </c>
      <c r="C36" s="42">
        <f>C8*C29/100000</f>
        <v>4.5</v>
      </c>
      <c r="D36" s="42">
        <f t="shared" ref="D36:I36" si="36">D8*D29/100000</f>
        <v>5.67</v>
      </c>
      <c r="E36" s="42">
        <f t="shared" si="36"/>
        <v>6.4493</v>
      </c>
      <c r="F36" s="42">
        <f t="shared" si="36"/>
        <v>7.2926000000000002</v>
      </c>
      <c r="G36" s="42">
        <f t="shared" si="36"/>
        <v>8.2035</v>
      </c>
      <c r="H36" s="42">
        <f t="shared" si="36"/>
        <v>9.1872000000000007</v>
      </c>
      <c r="I36" s="42">
        <f t="shared" si="36"/>
        <v>10.2493</v>
      </c>
      <c r="J36" s="42">
        <f t="shared" ref="J36:L36" si="37">J8*J29/100000</f>
        <v>11.394</v>
      </c>
      <c r="K36" s="42">
        <f t="shared" si="37"/>
        <v>13.294</v>
      </c>
      <c r="L36" s="42">
        <f t="shared" si="37"/>
        <v>14.655900000000001</v>
      </c>
    </row>
    <row r="37" spans="1:12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x14ac:dyDescent="0.25">
      <c r="A38" s="8" t="s">
        <v>84</v>
      </c>
      <c r="B38" s="8" t="str">
        <f>B10</f>
        <v>Husk</v>
      </c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x14ac:dyDescent="0.25">
      <c r="A39" s="6"/>
      <c r="B39" s="36" t="s">
        <v>71</v>
      </c>
      <c r="C39" s="42">
        <v>0</v>
      </c>
      <c r="D39" s="42">
        <f>C40</f>
        <v>0.08</v>
      </c>
      <c r="E39" s="42">
        <f>D40</f>
        <v>0.105</v>
      </c>
      <c r="F39" s="42">
        <f t="shared" ref="F39:I39" si="38">E40</f>
        <v>0.1105</v>
      </c>
      <c r="G39" s="42">
        <f t="shared" si="38"/>
        <v>0.13919999999999999</v>
      </c>
      <c r="H39" s="42">
        <f t="shared" si="38"/>
        <v>0.1464</v>
      </c>
      <c r="I39" s="42">
        <f t="shared" si="38"/>
        <v>0.1792</v>
      </c>
      <c r="J39" s="42">
        <f t="shared" ref="J39" si="39">I40</f>
        <v>0.1883</v>
      </c>
      <c r="K39" s="42">
        <f t="shared" ref="K39" si="40">J40</f>
        <v>0.19739999999999999</v>
      </c>
      <c r="L39" s="42">
        <f t="shared" ref="L39" si="41">K40</f>
        <v>0.23680000000000001</v>
      </c>
    </row>
    <row r="40" spans="1:12" x14ac:dyDescent="0.25">
      <c r="A40" s="6"/>
      <c r="B40" s="36" t="s">
        <v>72</v>
      </c>
      <c r="C40" s="42">
        <f>C30*C14/100000</f>
        <v>0.08</v>
      </c>
      <c r="D40" s="42">
        <f t="shared" ref="D40:I40" si="42">D30*D14/100000</f>
        <v>0.105</v>
      </c>
      <c r="E40" s="42">
        <f t="shared" si="42"/>
        <v>0.1105</v>
      </c>
      <c r="F40" s="42">
        <f t="shared" si="42"/>
        <v>0.13919999999999999</v>
      </c>
      <c r="G40" s="42">
        <f t="shared" si="42"/>
        <v>0.1464</v>
      </c>
      <c r="H40" s="42">
        <f t="shared" si="42"/>
        <v>0.1792</v>
      </c>
      <c r="I40" s="42">
        <f t="shared" si="42"/>
        <v>0.1883</v>
      </c>
      <c r="J40" s="42">
        <f t="shared" ref="J40:L40" si="43">J30*J14/100000</f>
        <v>0.19739999999999999</v>
      </c>
      <c r="K40" s="42">
        <f t="shared" si="43"/>
        <v>0.23680000000000001</v>
      </c>
      <c r="L40" s="42">
        <f t="shared" si="43"/>
        <v>0.24879999999999999</v>
      </c>
    </row>
    <row r="41" spans="1:12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x14ac:dyDescent="0.25">
      <c r="A42" s="8" t="s">
        <v>85</v>
      </c>
      <c r="B42" s="8" t="str">
        <f>B16</f>
        <v>Broken</v>
      </c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x14ac:dyDescent="0.25">
      <c r="A43" s="6"/>
      <c r="B43" s="36" t="s">
        <v>71</v>
      </c>
      <c r="C43" s="42">
        <v>0</v>
      </c>
      <c r="D43" s="42">
        <f>C44</f>
        <v>0.72</v>
      </c>
      <c r="E43" s="42">
        <f>D44</f>
        <v>0.94499999999999995</v>
      </c>
      <c r="F43" s="42">
        <f t="shared" ref="F43:I43" si="44">E44</f>
        <v>0.99250000000000005</v>
      </c>
      <c r="G43" s="42">
        <f t="shared" si="44"/>
        <v>1.2504</v>
      </c>
      <c r="H43" s="42">
        <f t="shared" si="44"/>
        <v>1.3128</v>
      </c>
      <c r="I43" s="42">
        <f t="shared" si="44"/>
        <v>1.6079000000000001</v>
      </c>
      <c r="J43" s="42">
        <f t="shared" ref="J43" si="45">I44</f>
        <v>1.6883999999999999</v>
      </c>
      <c r="K43" s="42">
        <f t="shared" ref="K43" si="46">J44</f>
        <v>1.7730999999999999</v>
      </c>
      <c r="L43" s="42">
        <f t="shared" ref="L43" si="47">K44</f>
        <v>2.1280000000000001</v>
      </c>
    </row>
    <row r="44" spans="1:12" x14ac:dyDescent="0.25">
      <c r="A44" s="6"/>
      <c r="B44" s="36" t="s">
        <v>72</v>
      </c>
      <c r="C44" s="42">
        <f>C31*C20/100000</f>
        <v>0.72</v>
      </c>
      <c r="D44" s="42">
        <f t="shared" ref="D44:I44" si="48">D31*D20/100000</f>
        <v>0.94499999999999995</v>
      </c>
      <c r="E44" s="42">
        <f t="shared" si="48"/>
        <v>0.99250000000000005</v>
      </c>
      <c r="F44" s="42">
        <f t="shared" si="48"/>
        <v>1.2504</v>
      </c>
      <c r="G44" s="42">
        <f t="shared" si="48"/>
        <v>1.3128</v>
      </c>
      <c r="H44" s="42">
        <f t="shared" si="48"/>
        <v>1.6079000000000001</v>
      </c>
      <c r="I44" s="42">
        <f t="shared" si="48"/>
        <v>1.6883999999999999</v>
      </c>
      <c r="J44" s="42">
        <f t="shared" ref="J44:L44" si="49">J31*J20/100000</f>
        <v>1.7730999999999999</v>
      </c>
      <c r="K44" s="42">
        <f t="shared" si="49"/>
        <v>2.1280000000000001</v>
      </c>
      <c r="L44" s="42">
        <f t="shared" si="49"/>
        <v>2.2343999999999999</v>
      </c>
    </row>
    <row r="45" spans="1:12" x14ac:dyDescent="0.25">
      <c r="A45" s="6"/>
      <c r="B45" s="36"/>
      <c r="C45" s="42"/>
      <c r="D45" s="42"/>
      <c r="E45" s="42"/>
      <c r="F45" s="42"/>
      <c r="G45" s="42"/>
      <c r="H45" s="42"/>
      <c r="I45" s="42"/>
      <c r="J45" s="6"/>
      <c r="K45" s="6"/>
      <c r="L45" s="6"/>
    </row>
    <row r="46" spans="1:12" x14ac:dyDescent="0.25">
      <c r="A46" s="6" t="s">
        <v>402</v>
      </c>
      <c r="B46" s="8" t="str">
        <f>B22</f>
        <v>Bran</v>
      </c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x14ac:dyDescent="0.25">
      <c r="A47" s="6"/>
      <c r="B47" s="36" t="s">
        <v>71</v>
      </c>
      <c r="C47" s="42">
        <v>0</v>
      </c>
      <c r="D47" s="42">
        <f>C48</f>
        <v>0.2</v>
      </c>
      <c r="E47" s="42">
        <f>D48</f>
        <v>0.21</v>
      </c>
      <c r="F47" s="42">
        <f t="shared" ref="F47" si="50">E48</f>
        <v>0.22059999999999999</v>
      </c>
      <c r="G47" s="42">
        <f t="shared" ref="G47" si="51">F48</f>
        <v>0.2316</v>
      </c>
      <c r="H47" s="42">
        <f t="shared" ref="H47" si="52">G48</f>
        <v>0.2432</v>
      </c>
      <c r="I47" s="42">
        <f t="shared" ref="I47" si="53">H48</f>
        <v>0.3831</v>
      </c>
      <c r="J47" s="42">
        <f t="shared" ref="J47" si="54">I48</f>
        <v>0.40229999999999999</v>
      </c>
      <c r="K47" s="42">
        <f t="shared" ref="K47" si="55">J48</f>
        <v>0.4224</v>
      </c>
      <c r="L47" s="42">
        <f t="shared" ref="L47" si="56">K48</f>
        <v>0.44340000000000002</v>
      </c>
    </row>
    <row r="48" spans="1:12" x14ac:dyDescent="0.25">
      <c r="A48" s="6"/>
      <c r="B48" s="36" t="s">
        <v>72</v>
      </c>
      <c r="C48" s="42">
        <f>C32*C26/100000</f>
        <v>0.2</v>
      </c>
      <c r="D48" s="42">
        <f t="shared" ref="D48:L48" si="57">D32*D26/100000</f>
        <v>0.21</v>
      </c>
      <c r="E48" s="42">
        <f t="shared" si="57"/>
        <v>0.22059999999999999</v>
      </c>
      <c r="F48" s="42">
        <f t="shared" si="57"/>
        <v>0.2316</v>
      </c>
      <c r="G48" s="42">
        <f t="shared" si="57"/>
        <v>0.2432</v>
      </c>
      <c r="H48" s="42">
        <f t="shared" si="57"/>
        <v>0.3831</v>
      </c>
      <c r="I48" s="42">
        <f t="shared" si="57"/>
        <v>0.40229999999999999</v>
      </c>
      <c r="J48" s="42">
        <f t="shared" si="57"/>
        <v>0.4224</v>
      </c>
      <c r="K48" s="42">
        <f t="shared" si="57"/>
        <v>0.44340000000000002</v>
      </c>
      <c r="L48" s="42">
        <f t="shared" si="57"/>
        <v>0.46560000000000001</v>
      </c>
    </row>
    <row r="49" spans="1:12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x14ac:dyDescent="0.25">
      <c r="A50" s="6"/>
      <c r="B50" s="8" t="s">
        <v>87</v>
      </c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x14ac:dyDescent="0.25">
      <c r="A51" s="6"/>
      <c r="B51" s="26" t="s">
        <v>71</v>
      </c>
      <c r="C51" s="41">
        <f>C35+C39+C43+C47</f>
        <v>0</v>
      </c>
      <c r="D51" s="41">
        <f t="shared" ref="D51:L51" si="58">D35+D39+D43+D47</f>
        <v>5.5</v>
      </c>
      <c r="E51" s="41">
        <f t="shared" si="58"/>
        <v>6.9300000000000006</v>
      </c>
      <c r="F51" s="41">
        <f t="shared" si="58"/>
        <v>7.7728999999999999</v>
      </c>
      <c r="G51" s="41">
        <f t="shared" si="58"/>
        <v>8.9138000000000002</v>
      </c>
      <c r="H51" s="41">
        <f t="shared" si="58"/>
        <v>9.905899999999999</v>
      </c>
      <c r="I51" s="41">
        <f t="shared" si="58"/>
        <v>11.357400000000002</v>
      </c>
      <c r="J51" s="41">
        <f t="shared" si="58"/>
        <v>12.5283</v>
      </c>
      <c r="K51" s="41">
        <f t="shared" si="58"/>
        <v>13.786899999999999</v>
      </c>
      <c r="L51" s="41">
        <f t="shared" si="58"/>
        <v>16.1022</v>
      </c>
    </row>
    <row r="52" spans="1:12" x14ac:dyDescent="0.25">
      <c r="A52" s="6"/>
      <c r="B52" s="26" t="s">
        <v>72</v>
      </c>
      <c r="C52" s="41">
        <f>C36+C40+C44+C48</f>
        <v>5.5</v>
      </c>
      <c r="D52" s="41">
        <f t="shared" ref="D52:L52" si="59">D36+D40+D44+D48</f>
        <v>6.9300000000000006</v>
      </c>
      <c r="E52" s="41">
        <f t="shared" si="59"/>
        <v>7.7728999999999999</v>
      </c>
      <c r="F52" s="41">
        <f t="shared" si="59"/>
        <v>8.9138000000000002</v>
      </c>
      <c r="G52" s="41">
        <f t="shared" si="59"/>
        <v>9.905899999999999</v>
      </c>
      <c r="H52" s="41">
        <f t="shared" si="59"/>
        <v>11.357400000000002</v>
      </c>
      <c r="I52" s="41">
        <f t="shared" si="59"/>
        <v>12.5283</v>
      </c>
      <c r="J52" s="41">
        <f t="shared" si="59"/>
        <v>13.786899999999999</v>
      </c>
      <c r="K52" s="41">
        <f t="shared" si="59"/>
        <v>16.1022</v>
      </c>
      <c r="L52" s="41">
        <f t="shared" si="59"/>
        <v>17.604699999999998</v>
      </c>
    </row>
    <row r="54" spans="1:12" x14ac:dyDescent="0.25">
      <c r="C54" s="25"/>
    </row>
  </sheetData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6</vt:i4>
      </vt:variant>
    </vt:vector>
  </HeadingPairs>
  <TitlesOfParts>
    <vt:vector size="46" baseType="lpstr">
      <vt:lpstr>Capital Cost</vt:lpstr>
      <vt:lpstr>Key Assumptions</vt:lpstr>
      <vt:lpstr>Capital Cost break-up</vt:lpstr>
      <vt:lpstr>Project Glance</vt:lpstr>
      <vt:lpstr>Depn</vt:lpstr>
      <vt:lpstr>Output Schedule</vt:lpstr>
      <vt:lpstr>CS-RM</vt:lpstr>
      <vt:lpstr>Purchase Schedule</vt:lpstr>
      <vt:lpstr>CS-FG</vt:lpstr>
      <vt:lpstr>Sales Schedule</vt:lpstr>
      <vt:lpstr>Farm Implement Business</vt:lpstr>
      <vt:lpstr>Production Level Support</vt:lpstr>
      <vt:lpstr>Manpower Schedule</vt:lpstr>
      <vt:lpstr>weigh Bridge</vt:lpstr>
      <vt:lpstr>Warehouse</vt:lpstr>
      <vt:lpstr>Opex Schedule</vt:lpstr>
      <vt:lpstr>WC Req</vt:lpstr>
      <vt:lpstr>Ammortization</vt:lpstr>
      <vt:lpstr>WC Assessment</vt:lpstr>
      <vt:lpstr>P&amp;L</vt:lpstr>
      <vt:lpstr>Tax</vt:lpstr>
      <vt:lpstr>BS</vt:lpstr>
      <vt:lpstr>CF</vt:lpstr>
      <vt:lpstr>TL Schedule</vt:lpstr>
      <vt:lpstr>Interest</vt:lpstr>
      <vt:lpstr>ROCE and Payback</vt:lpstr>
      <vt:lpstr>NPV</vt:lpstr>
      <vt:lpstr>IRR</vt:lpstr>
      <vt:lpstr>Debt Equity</vt:lpstr>
      <vt:lpstr>Break Even</vt:lpstr>
      <vt:lpstr>DSCR</vt:lpstr>
      <vt:lpstr>BEP &amp; DSCR</vt:lpstr>
      <vt:lpstr>Sheet19</vt:lpstr>
      <vt:lpstr>Sheet6</vt:lpstr>
      <vt:lpstr>Benefit-FPO-Producer</vt:lpstr>
      <vt:lpstr>Sheet2</vt:lpstr>
      <vt:lpstr>Economic Analysis</vt:lpstr>
      <vt:lpstr>Sheet9</vt:lpstr>
      <vt:lpstr>sensitivity</vt:lpstr>
      <vt:lpstr>Member Data</vt:lpstr>
      <vt:lpstr>'BEP &amp; DSCR'!Print_Area</vt:lpstr>
      <vt:lpstr>'Capital Cost'!Print_Area</vt:lpstr>
      <vt:lpstr>IRR!Print_Area</vt:lpstr>
      <vt:lpstr>'Opex Schedule'!Print_Area</vt:lpstr>
      <vt:lpstr>'Output Schedule'!Print_Area</vt:lpstr>
      <vt:lpstr>'ROCE and Payback'!Print_Area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Huskar</cp:lastModifiedBy>
  <dcterms:created xsi:type="dcterms:W3CDTF">2020-07-01T05:43:42Z</dcterms:created>
  <dcterms:modified xsi:type="dcterms:W3CDTF">2022-05-18T12:14:56Z</dcterms:modified>
</cp:coreProperties>
</file>